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auwolf/Documents/Business/Business Documents/Personal documents/"/>
    </mc:Choice>
  </mc:AlternateContent>
  <xr:revisionPtr revIDLastSave="0" documentId="13_ncr:1_{3B3DBC7E-7F2C-294B-BEF3-0BAB663959BC}" xr6:coauthVersionLast="45" xr6:coauthVersionMax="45" xr10:uidLastSave="{00000000-0000-0000-0000-000000000000}"/>
  <bookViews>
    <workbookView xWindow="1200" yWindow="1000" windowWidth="27600" windowHeight="17000" activeTab="2" xr2:uid="{CA4E77ED-86D4-294A-ADCE-871A9BC61DBE}"/>
  </bookViews>
  <sheets>
    <sheet name="Start here" sheetId="9" r:id="rId1"/>
    <sheet name="Muller Equation" sheetId="1" r:id="rId2"/>
    <sheet name="Macros" sheetId="11" r:id="rId3"/>
    <sheet name="Diet Break Maintenance" sheetId="2" r:id="rId4"/>
    <sheet name="Maintenance From Deficit" sheetId="5" r:id="rId5"/>
    <sheet name="Maintenance From Surplus" sheetId="6" r:id="rId6"/>
    <sheet name="How Long To Diet" sheetId="3" r:id="rId7"/>
    <sheet name="Daily Deficit" sheetId="7" r:id="rId8"/>
    <sheet name="Reverse Diet" sheetId="8" r:id="rId9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8" l="1"/>
  <c r="C16" i="8"/>
  <c r="G23" i="8"/>
  <c r="G25" i="8"/>
  <c r="C19" i="8"/>
  <c r="F23" i="8"/>
  <c r="F25" i="8"/>
  <c r="F17" i="8"/>
  <c r="C18" i="8"/>
  <c r="C7" i="11"/>
  <c r="C8" i="11"/>
  <c r="C9" i="11"/>
  <c r="F16" i="11"/>
  <c r="C11" i="11"/>
  <c r="G20" i="11"/>
  <c r="G16" i="11"/>
  <c r="C12" i="11"/>
  <c r="F20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19" i="11"/>
  <c r="F19" i="11"/>
  <c r="G18" i="11"/>
  <c r="F18" i="11"/>
  <c r="G17" i="11"/>
  <c r="F17" i="11"/>
  <c r="G15" i="11"/>
  <c r="F15" i="11"/>
  <c r="G14" i="11"/>
  <c r="F14" i="11"/>
  <c r="G13" i="11"/>
  <c r="F13" i="11"/>
  <c r="G12" i="11"/>
  <c r="F12" i="11"/>
  <c r="G11" i="11"/>
  <c r="F11" i="11"/>
  <c r="F10" i="11"/>
  <c r="J5" i="7"/>
  <c r="G5" i="3"/>
  <c r="H12" i="8"/>
  <c r="I12" i="8"/>
  <c r="H11" i="8"/>
  <c r="I11" i="8"/>
  <c r="H10" i="8"/>
  <c r="I10" i="8"/>
  <c r="H9" i="8"/>
  <c r="I9" i="8"/>
  <c r="H8" i="8"/>
  <c r="I8" i="8"/>
  <c r="H7" i="8"/>
  <c r="I7" i="8"/>
  <c r="H6" i="8"/>
  <c r="I6" i="8"/>
  <c r="H5" i="8"/>
  <c r="I5" i="8"/>
  <c r="I4" i="8"/>
  <c r="G14" i="7"/>
  <c r="G16" i="7"/>
  <c r="C14" i="7"/>
  <c r="C7" i="3"/>
  <c r="C4" i="3"/>
  <c r="C8" i="3"/>
  <c r="C9" i="3"/>
  <c r="C11" i="3"/>
  <c r="C12" i="3"/>
  <c r="C4" i="6"/>
  <c r="C5" i="6"/>
  <c r="C7" i="6"/>
  <c r="C9" i="6"/>
  <c r="C6" i="6"/>
  <c r="C8" i="6"/>
  <c r="C10" i="6"/>
  <c r="C11" i="6"/>
  <c r="C13" i="6"/>
  <c r="G4" i="6"/>
  <c r="G6" i="6"/>
  <c r="C4" i="5"/>
  <c r="C5" i="5"/>
  <c r="C6" i="5"/>
  <c r="C7" i="5"/>
  <c r="C9" i="5"/>
  <c r="G4" i="5"/>
  <c r="G6" i="5"/>
  <c r="C4" i="2"/>
  <c r="C5" i="2"/>
  <c r="C6" i="2"/>
  <c r="G37" i="8"/>
  <c r="G36" i="8"/>
  <c r="G35" i="8"/>
  <c r="G34" i="8"/>
  <c r="G33" i="8"/>
  <c r="G32" i="8"/>
  <c r="G31" i="8"/>
  <c r="G30" i="8"/>
  <c r="G29" i="8"/>
  <c r="G28" i="8"/>
  <c r="G26" i="8"/>
  <c r="G24" i="8"/>
  <c r="G22" i="8"/>
  <c r="G21" i="8"/>
  <c r="G20" i="8"/>
  <c r="G19" i="8"/>
  <c r="G18" i="8"/>
  <c r="F37" i="8"/>
  <c r="F36" i="8"/>
  <c r="F35" i="8"/>
  <c r="F34" i="8"/>
  <c r="F33" i="8"/>
  <c r="F32" i="8"/>
  <c r="F31" i="8"/>
  <c r="F30" i="8"/>
  <c r="F29" i="8"/>
  <c r="F28" i="8"/>
  <c r="F26" i="8"/>
  <c r="F20" i="8"/>
  <c r="F19" i="8"/>
  <c r="F21" i="8"/>
  <c r="F24" i="8"/>
  <c r="F22" i="8"/>
  <c r="F18" i="8"/>
  <c r="G27" i="8"/>
  <c r="F27" i="8"/>
  <c r="C6" i="7"/>
  <c r="C7" i="7"/>
  <c r="C4" i="7"/>
  <c r="C5" i="7"/>
  <c r="C8" i="7"/>
  <c r="C9" i="7"/>
  <c r="G4" i="7"/>
  <c r="G6" i="7"/>
  <c r="C9" i="2"/>
  <c r="C8" i="2"/>
  <c r="C10" i="2"/>
  <c r="G4" i="2"/>
  <c r="G6" i="2"/>
  <c r="C4" i="1"/>
  <c r="C6" i="1"/>
  <c r="C7" i="1"/>
  <c r="E4" i="1"/>
  <c r="E5" i="1"/>
  <c r="K15" i="1"/>
  <c r="K13" i="1"/>
  <c r="K14" i="1"/>
  <c r="K12" i="1"/>
  <c r="K16" i="1"/>
  <c r="K8" i="1"/>
  <c r="K6" i="1"/>
  <c r="K4" i="1"/>
  <c r="K5" i="1"/>
  <c r="K7" i="1"/>
</calcChain>
</file>

<file path=xl/sharedStrings.xml><?xml version="1.0" encoding="utf-8"?>
<sst xmlns="http://schemas.openxmlformats.org/spreadsheetml/2006/main" count="214" uniqueCount="153">
  <si>
    <t>LBM:</t>
  </si>
  <si>
    <t>FM:</t>
  </si>
  <si>
    <t>Body fat %:</t>
  </si>
  <si>
    <t>Weight (lbs):</t>
  </si>
  <si>
    <t>Weight (kg):</t>
  </si>
  <si>
    <t>Male:</t>
  </si>
  <si>
    <t>Female:</t>
  </si>
  <si>
    <t>Predicted BMR</t>
  </si>
  <si>
    <t xml:space="preserve">Predicted Maintenance </t>
  </si>
  <si>
    <t>Activity Factors</t>
  </si>
  <si>
    <t>Multiplier</t>
  </si>
  <si>
    <t>Sedentary</t>
  </si>
  <si>
    <t>Light Activity</t>
  </si>
  <si>
    <t>Moderate Activity</t>
  </si>
  <si>
    <t>Very Active</t>
  </si>
  <si>
    <t>Extra Active</t>
  </si>
  <si>
    <t>Male (Sedentary):</t>
  </si>
  <si>
    <t>Male (Light Activity):</t>
  </si>
  <si>
    <t>Male (Moderate Activity):</t>
  </si>
  <si>
    <t>Male (Very Active):</t>
  </si>
  <si>
    <t>Male (Extra Active):</t>
  </si>
  <si>
    <t>Female (Moderate Activity):</t>
  </si>
  <si>
    <t>Female (Very Active):</t>
  </si>
  <si>
    <t>Female (Extra Active):</t>
  </si>
  <si>
    <t>Age:</t>
  </si>
  <si>
    <t>Duration (Weeks):</t>
  </si>
  <si>
    <t>Duration (Days)</t>
  </si>
  <si>
    <t>Total Weight Lost (lbs):</t>
  </si>
  <si>
    <t>Total Weight Lost (kgs):</t>
  </si>
  <si>
    <t>Total Weight Lost (g):</t>
  </si>
  <si>
    <t>Calorie Value:</t>
  </si>
  <si>
    <t>Avg Deficit (cal/day):</t>
  </si>
  <si>
    <t>Avg Deficit (cal/week):</t>
  </si>
  <si>
    <t>Predicted Maintenance:</t>
  </si>
  <si>
    <t>Avg Daily Calorie Intake:</t>
  </si>
  <si>
    <t>Female (Sedentary):</t>
  </si>
  <si>
    <t>Female (Light Activity):</t>
  </si>
  <si>
    <t>Carbs</t>
  </si>
  <si>
    <t>Fats</t>
  </si>
  <si>
    <t># of days in a surplus:</t>
  </si>
  <si>
    <t>LBM Gained (kgs):</t>
  </si>
  <si>
    <t>Weight Gained (lbs):</t>
  </si>
  <si>
    <t>Weight Gained (kgs):</t>
  </si>
  <si>
    <t>Fat Mass gained (kgs):</t>
  </si>
  <si>
    <t>Actual LBM Gained (kgs):</t>
  </si>
  <si>
    <t>Actual FM Gained (kgs):</t>
  </si>
  <si>
    <t>Calories from LBM:</t>
  </si>
  <si>
    <t>Calories from FM:</t>
  </si>
  <si>
    <t>Total Calories:</t>
  </si>
  <si>
    <t>Weight (kgs):</t>
  </si>
  <si>
    <t>Target BF%:</t>
  </si>
  <si>
    <t>Desired rate of weight loss (kg/week):</t>
  </si>
  <si>
    <t>Weekly calorie deficit from BF:</t>
  </si>
  <si>
    <t>Weekly calorie deficit from LBM:</t>
  </si>
  <si>
    <t>Weekly loss from BF (kgs):</t>
  </si>
  <si>
    <t>Weekly loss from LBM (kgs):</t>
  </si>
  <si>
    <t>Weekly deficit from FM + LBM:</t>
  </si>
  <si>
    <t>Daily deficit from FM + LBM:</t>
  </si>
  <si>
    <t>Maintenance calories:</t>
  </si>
  <si>
    <t>Deficit per day:</t>
  </si>
  <si>
    <t>Current calories:</t>
  </si>
  <si>
    <t>Reverse Diet Type</t>
  </si>
  <si>
    <t>Calorie Increase</t>
  </si>
  <si>
    <t>Convservative</t>
  </si>
  <si>
    <t>Moderate</t>
  </si>
  <si>
    <t>Aggressive</t>
  </si>
  <si>
    <t>Bodyweight Goal</t>
  </si>
  <si>
    <t>≤ 0.2 %</t>
  </si>
  <si>
    <t>≤ 0.5 %</t>
  </si>
  <si>
    <t>≤ 0.8 %</t>
  </si>
  <si>
    <t>New Daily Calories</t>
  </si>
  <si>
    <t>Ratio C/F</t>
  </si>
  <si>
    <t>100/0</t>
  </si>
  <si>
    <t>95/5</t>
  </si>
  <si>
    <t>90/10</t>
  </si>
  <si>
    <t>80/20</t>
  </si>
  <si>
    <t>75/25</t>
  </si>
  <si>
    <t>70/30</t>
  </si>
  <si>
    <t>Calorie increase:</t>
  </si>
  <si>
    <t>65/45</t>
  </si>
  <si>
    <t>60/40</t>
  </si>
  <si>
    <t>55/45</t>
  </si>
  <si>
    <t>50/50</t>
  </si>
  <si>
    <t>0/100</t>
  </si>
  <si>
    <t>45/55</t>
  </si>
  <si>
    <t>40/60</t>
  </si>
  <si>
    <t>35/65</t>
  </si>
  <si>
    <t>30/70</t>
  </si>
  <si>
    <t>25/75</t>
  </si>
  <si>
    <t>20/80</t>
  </si>
  <si>
    <t>15/85</t>
  </si>
  <si>
    <t>10/90</t>
  </si>
  <si>
    <t>5/95</t>
  </si>
  <si>
    <t>85/15</t>
  </si>
  <si>
    <t>Thank you for downloading The Fit Chemist's Fitness Calculators spreadsheet!</t>
  </si>
  <si>
    <t>Shortcut Method:</t>
  </si>
  <si>
    <r>
      <rPr>
        <b/>
        <sz val="22"/>
        <color rgb="FFA1C2D9"/>
        <rFont val="Calibri (Body)"/>
      </rPr>
      <t>Daily Deficit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4"/>
        <color theme="1"/>
        <rFont val="Calibri (Body)"/>
      </rPr>
      <t>How many calories you should eat to lose weight based on the 'How long to diet' tab</t>
    </r>
  </si>
  <si>
    <t>(lbs):</t>
  </si>
  <si>
    <t>(kg):</t>
  </si>
  <si>
    <r>
      <rPr>
        <b/>
        <sz val="22"/>
        <color rgb="FFA1C2D9"/>
        <rFont val="Calibri (Body)"/>
      </rPr>
      <t>Diet Break Maintenance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4"/>
        <color theme="1"/>
        <rFont val="Calibri (Body)"/>
      </rPr>
      <t>How to calculate your calories for a diet break</t>
    </r>
  </si>
  <si>
    <r>
      <rPr>
        <b/>
        <sz val="22"/>
        <color rgb="FFA1C2D9"/>
        <rFont val="Calibri (Body)"/>
      </rPr>
      <t>Maintenance From a Deficit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4"/>
        <color theme="1"/>
        <rFont val="Calibri (Body)"/>
      </rPr>
      <t>How to calculate your maintenance calories after a dieting period</t>
    </r>
  </si>
  <si>
    <r>
      <rPr>
        <b/>
        <sz val="22"/>
        <color rgb="FFA1C2D9"/>
        <rFont val="Calibri (Body)"/>
      </rPr>
      <t>Maintenance From a Surplus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>How</t>
    </r>
    <r>
      <rPr>
        <i/>
        <sz val="14"/>
        <color theme="1"/>
        <rFont val="Calibri (Body)"/>
      </rPr>
      <t>to calculate your maintenance calories after a weight gain period</t>
    </r>
  </si>
  <si>
    <r>
      <rPr>
        <b/>
        <sz val="22"/>
        <color rgb="FFA1C2D9"/>
        <rFont val="Calibri (Body)"/>
      </rPr>
      <t>How Long To Diet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4"/>
        <color theme="1"/>
        <rFont val="Calibri (Body)"/>
      </rPr>
      <t>Based on your current weight and target body fat percentage</t>
    </r>
  </si>
  <si>
    <r>
      <rPr>
        <b/>
        <sz val="22"/>
        <color rgb="FFA1C2D9"/>
        <rFont val="Calibri (Body)"/>
      </rPr>
      <t>Reverse Diet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4"/>
        <color theme="1"/>
        <rFont val="Calibri (Body)"/>
      </rPr>
      <t>How to increase calories each week and how to adjust your macros accordingly</t>
    </r>
  </si>
  <si>
    <r>
      <t xml:space="preserve">           It is</t>
    </r>
    <r>
      <rPr>
        <b/>
        <i/>
        <sz val="12"/>
        <color theme="1"/>
        <rFont val="Calibri (Body)"/>
      </rPr>
      <t xml:space="preserve"> not </t>
    </r>
    <r>
      <rPr>
        <sz val="12"/>
        <color theme="1"/>
        <rFont val="Calibri"/>
        <family val="2"/>
        <scheme val="minor"/>
      </rPr>
      <t>recommended to lose over 1.0% per week</t>
    </r>
  </si>
  <si>
    <t>Sedentary – you work a desk job and don't exercise</t>
  </si>
  <si>
    <t>Light Activity – you work a desk job but do a regular bit of exercise</t>
  </si>
  <si>
    <t>Moderate Activity – you work a desk job but train hard or you work an active job and train moderately</t>
  </si>
  <si>
    <t>Very Active – you work a job where you're on your feet a bit and train hard most days of the week</t>
  </si>
  <si>
    <t>Extra Active – you train hard and work a labor intensive job</t>
  </si>
  <si>
    <r>
      <t xml:space="preserve">Activity Factor Descriptors (from </t>
    </r>
    <r>
      <rPr>
        <b/>
        <i/>
        <u/>
        <sz val="12"/>
        <color theme="1"/>
        <rFont val="Calibri"/>
        <family val="2"/>
        <scheme val="minor"/>
      </rPr>
      <t>Fat Loss Forever</t>
    </r>
    <r>
      <rPr>
        <b/>
        <u/>
        <sz val="12"/>
        <color theme="1"/>
        <rFont val="Calibri"/>
        <family val="2"/>
        <scheme val="minor"/>
      </rPr>
      <t>)</t>
    </r>
  </si>
  <si>
    <r>
      <rPr>
        <i/>
        <sz val="12"/>
        <color theme="1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 xml:space="preserve"> These are rough calculations. The most accurate way to assess your maintenance calories would be to track your calories and weight every day</t>
    </r>
  </si>
  <si>
    <r>
      <rPr>
        <b/>
        <sz val="22"/>
        <color rgb="FFA1C2D9"/>
        <rFont val="Calibri"/>
        <family val="2"/>
      </rPr>
      <t>Muller Equation</t>
    </r>
    <r>
      <rPr>
        <b/>
        <sz val="22"/>
        <color theme="1"/>
        <rFont val="Calibri"/>
        <family val="2"/>
      </rPr>
      <t xml:space="preserve">
</t>
    </r>
    <r>
      <rPr>
        <i/>
        <sz val="14"/>
        <color theme="1"/>
        <rFont val="Calibri"/>
        <family val="2"/>
      </rPr>
      <t>Calculate maintenance calories</t>
    </r>
  </si>
  <si>
    <t xml:space="preserve">(first thing in the morning after using the restroom) for two or three weeks, take the average of both, and then use the 'Maintenance From Deficit' </t>
  </si>
  <si>
    <t>or 'Maintenance From Surplus' tabs (depending on if you lost or gained weight during that period) to accurately calculate your maintenance</t>
  </si>
  <si>
    <t>Weight Lost (lbs):</t>
  </si>
  <si>
    <t>Weight Lost (kgs):</t>
  </si>
  <si>
    <t>Actual Fat Mass Lost (g):</t>
  </si>
  <si>
    <t>Actual Fat Mass Lost (kg):</t>
  </si>
  <si>
    <t>Calories From Fat Lost:</t>
  </si>
  <si>
    <t>Number of Days in a Deficit:</t>
  </si>
  <si>
    <t>Body Fat %:</t>
  </si>
  <si>
    <t>Required BF% Lost:</t>
  </si>
  <si>
    <t>Required Weight Lost (kgs):</t>
  </si>
  <si>
    <t>Actual Weight Needed to be Lost (kgs):</t>
  </si>
  <si>
    <t>Required Weight Loss (kg/week):</t>
  </si>
  <si>
    <t xml:space="preserve">          If you want to lose "X" amount of lbs, then simply adjust the 'Target BF%' until you've reached the desired 'Required Weight Lost (kgs)'</t>
  </si>
  <si>
    <r>
      <rPr>
        <i/>
        <sz val="12"/>
        <color theme="1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 xml:space="preserve"> It is recommended to lose between</t>
    </r>
    <r>
      <rPr>
        <b/>
        <sz val="12"/>
        <color theme="1"/>
        <rFont val="Calibri"/>
        <family val="2"/>
        <scheme val="minor"/>
      </rPr>
      <t xml:space="preserve"> 0.4-0.8%</t>
    </r>
    <r>
      <rPr>
        <sz val="12"/>
        <color theme="1"/>
        <rFont val="Calibri"/>
        <family val="2"/>
        <scheme val="minor"/>
      </rPr>
      <t xml:space="preserve"> of your body weight per week</t>
    </r>
  </si>
  <si>
    <t>lbs to kg calculator:</t>
  </si>
  <si>
    <t>Rate of Weight Loss as a % of BW:</t>
  </si>
  <si>
    <t>Avg Surplus (cal/day):</t>
  </si>
  <si>
    <t>Weeks To Reach Desired Weight Goal:</t>
  </si>
  <si>
    <t xml:space="preserve">         (Since the required weight loss section is in kgs I've included a lbs to kg calculator to make it easier if you choose to go this route)</t>
  </si>
  <si>
    <t>Calorie goal per day:</t>
  </si>
  <si>
    <r>
      <t xml:space="preserve">Reverse Diet Descriptors (from </t>
    </r>
    <r>
      <rPr>
        <b/>
        <i/>
        <u/>
        <sz val="12"/>
        <color theme="1"/>
        <rFont val="Calibri"/>
        <family val="2"/>
        <scheme val="minor"/>
      </rPr>
      <t>The Complete Reverse Dieting Guide</t>
    </r>
    <r>
      <rPr>
        <b/>
        <u/>
        <sz val="12"/>
        <color theme="1"/>
        <rFont val="Calibri"/>
        <family val="2"/>
        <scheme val="minor"/>
      </rPr>
      <t>)</t>
    </r>
  </si>
  <si>
    <r>
      <t xml:space="preserve">Conservative – Max allowable weight gain is </t>
    </r>
    <r>
      <rPr>
        <b/>
        <sz val="12"/>
        <color theme="1"/>
        <rFont val="Calibri"/>
        <family val="2"/>
        <scheme val="minor"/>
      </rPr>
      <t>≤ 0.2%</t>
    </r>
    <r>
      <rPr>
        <sz val="12"/>
        <color theme="1"/>
        <rFont val="Calibri"/>
        <family val="2"/>
        <scheme val="minor"/>
      </rPr>
      <t xml:space="preserve"> of your body weight gained per week. If this is not exceeded, increase calories (carbs and fats) the following week by </t>
    </r>
    <r>
      <rPr>
        <b/>
        <sz val="12"/>
        <color theme="1"/>
        <rFont val="Calibri"/>
        <family val="2"/>
        <scheme val="minor"/>
      </rPr>
      <t xml:space="preserve">1-3% </t>
    </r>
  </si>
  <si>
    <t>A few notes:</t>
  </si>
  <si>
    <r>
      <t xml:space="preserve">Moderate – Max allowable weight gain is </t>
    </r>
    <r>
      <rPr>
        <b/>
        <sz val="12"/>
        <color theme="1"/>
        <rFont val="Calibri"/>
        <family val="2"/>
        <scheme val="minor"/>
      </rPr>
      <t>≤ 0.5%</t>
    </r>
    <r>
      <rPr>
        <sz val="12"/>
        <color theme="1"/>
        <rFont val="Calibri"/>
        <family val="2"/>
        <scheme val="minor"/>
      </rPr>
      <t xml:space="preserve"> of your body weight gained per week. If this is not exceeded, increase calories (carbs and fats) the following week by </t>
    </r>
    <r>
      <rPr>
        <b/>
        <sz val="12"/>
        <color theme="1"/>
        <rFont val="Calibri"/>
        <family val="2"/>
        <scheme val="minor"/>
      </rPr>
      <t xml:space="preserve">3-6% </t>
    </r>
  </si>
  <si>
    <r>
      <t xml:space="preserve">Agressive – Max allowable weight gain is </t>
    </r>
    <r>
      <rPr>
        <b/>
        <sz val="12"/>
        <color theme="1"/>
        <rFont val="Calibri"/>
        <family val="2"/>
        <scheme val="minor"/>
      </rPr>
      <t>≤ 0.8%</t>
    </r>
    <r>
      <rPr>
        <sz val="12"/>
        <color theme="1"/>
        <rFont val="Calibri"/>
        <family val="2"/>
        <scheme val="minor"/>
      </rPr>
      <t xml:space="preserve"> of your body weight gained per week. If this is not exceeded, increase calories (carbs and fats) the following week by </t>
    </r>
    <r>
      <rPr>
        <b/>
        <sz val="12"/>
        <color theme="1"/>
        <rFont val="Calibri"/>
        <family val="2"/>
        <scheme val="minor"/>
      </rPr>
      <t>6-9%</t>
    </r>
  </si>
  <si>
    <t>I've included three levels for each desriptor so there is even more flexibility. Choose which one you'd like based on the muliplier (this is the % increase of calories for the upcoming week)</t>
  </si>
  <si>
    <t>The goal of a reverse diet is not to lose weight (although this can happen). The goal is to increase your metabolic rate while minimizing fat gain.</t>
  </si>
  <si>
    <r>
      <rPr>
        <b/>
        <sz val="22"/>
        <color rgb="FFA1C2D9"/>
        <rFont val="Calibri (Body)"/>
      </rPr>
      <t>Macros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4"/>
        <color theme="1"/>
        <rFont val="Calibri (Body)"/>
      </rPr>
      <t>calculate your macros based on your bodyweight and maintenance calories</t>
    </r>
  </si>
  <si>
    <r>
      <rPr>
        <b/>
        <u/>
        <sz val="14"/>
        <color theme="1"/>
        <rFont val="Calibri (Body)"/>
      </rPr>
      <t>What's included:</t>
    </r>
    <r>
      <rPr>
        <sz val="14"/>
        <color theme="1"/>
        <rFont val="Calibri (Body)"/>
      </rPr>
      <t xml:space="preserve">
• Muller equation – calculating your maintenance calories
• Macros – calculate your macros based on your bodyweight and maintenance calories
• Diet break maintenance –  how to calculate your calories for a diet break
• Maintenance from deficit – how to calculate your maintenance calories after a dieting period
• Maintenance from surplus – how to calculate your maintenance calories from a surplus/weight gain period
• How long to diet – based on your current weight and target body fat percentage
• Daily deficit calories – how many calories you should eat to lose weight based on the 'How long to diet' tab
• Reverse dieting – how to increase calories each week and how to adjust your macros accordingly
</t>
    </r>
    <r>
      <rPr>
        <b/>
        <u/>
        <sz val="14"/>
        <color theme="1"/>
        <rFont val="Calibri (Body)"/>
      </rPr>
      <t>Instructions:</t>
    </r>
    <r>
      <rPr>
        <sz val="14"/>
        <color theme="1"/>
        <rFont val="Calibri (Body)"/>
      </rPr>
      <t xml:space="preserve">
• Go to the desired tab
• Enter the required values in highlighted cells  (</t>
    </r>
    <r>
      <rPr>
        <i/>
        <sz val="14"/>
        <color theme="1"/>
        <rFont val="Calibri (Body)"/>
      </rPr>
      <t>Please</t>
    </r>
    <r>
      <rPr>
        <sz val="14"/>
        <color theme="1"/>
        <rFont val="Calibri (Body)"/>
      </rPr>
      <t xml:space="preserve"> </t>
    </r>
    <r>
      <rPr>
        <i/>
        <sz val="14"/>
        <color theme="1"/>
        <rFont val="Calibri (Body)"/>
      </rPr>
      <t>note</t>
    </r>
    <r>
      <rPr>
        <sz val="14"/>
        <color theme="1"/>
        <rFont val="Calibri (Body)"/>
      </rPr>
      <t xml:space="preserve">: I've locked all non-highlighted cells so the formulas can't be accidentally removed)
</t>
    </r>
    <r>
      <rPr>
        <b/>
        <u/>
        <sz val="14"/>
        <color theme="1"/>
        <rFont val="Calibri (Body)"/>
      </rPr>
      <t>Sources:</t>
    </r>
    <r>
      <rPr>
        <sz val="14"/>
        <color theme="1"/>
        <rFont val="Calibri (Body)"/>
      </rPr>
      <t xml:space="preserve">
I want to make it clear that I did not create the methods used for these calculations. I simply took pre-existing methods and compiled them into this spreadsheet. If you are looking for more information regarding the calculations please consult the following sources:
(1) </t>
    </r>
    <r>
      <rPr>
        <i/>
        <sz val="14"/>
        <color theme="1"/>
        <rFont val="Calibri (Body)"/>
      </rPr>
      <t>Fat Loss Forever</t>
    </r>
    <r>
      <rPr>
        <sz val="14"/>
        <color theme="1"/>
        <rFont val="Calibri (Body)"/>
      </rPr>
      <t xml:space="preserve"> by Layne Norton, Ph.D.
(2) </t>
    </r>
    <r>
      <rPr>
        <i/>
        <sz val="14"/>
        <color theme="1"/>
        <rFont val="Calibri (Body)"/>
      </rPr>
      <t>The Complete Contest Prep Guide</t>
    </r>
    <r>
      <rPr>
        <sz val="14"/>
        <color theme="1"/>
        <rFont val="Calibri (Body)"/>
      </rPr>
      <t xml:space="preserve"> by Layne Norton, Ph.D.
(3) </t>
    </r>
    <r>
      <rPr>
        <i/>
        <sz val="14"/>
        <color theme="1"/>
        <rFont val="Calibri (Body)"/>
      </rPr>
      <t>The Complete Reverse Dieting Guide: Your Path to Sustainable Results</t>
    </r>
    <r>
      <rPr>
        <sz val="14"/>
        <color theme="1"/>
        <rFont val="Calibri (Body)"/>
      </rPr>
      <t xml:space="preserve"> by Layne Norton, Ph.D. &amp; Holly Baxter, M.S.</t>
    </r>
  </si>
  <si>
    <t>Bodyweight (lbs):</t>
  </si>
  <si>
    <t>Protein Multiplier (gram per lb):</t>
  </si>
  <si>
    <t>Calories remaining for Carbs/Fats:</t>
  </si>
  <si>
    <t>Calories from protein:</t>
  </si>
  <si>
    <t>Desired ratio C/F ratio):</t>
  </si>
  <si>
    <t>Protein Intake (grams per day):</t>
  </si>
  <si>
    <t>Carb Intake (grams per day):</t>
  </si>
  <si>
    <t>Fat Intake (grams per day):</t>
  </si>
  <si>
    <t>Reverse diet multiplier:</t>
  </si>
  <si>
    <r>
      <rPr>
        <i/>
        <sz val="12"/>
        <color theme="1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 xml:space="preserve"> I recommend choosing a value between 0.8 – 1.0 g/ lb. I would only advise going up to 1.2 g/lb during a severe calorie deficit. Anything over 1.2 g/lb is overkill in my opinion.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</si>
</sst>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9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 (Body)"/>
    </font>
    <font>
      <u/>
      <sz val="12"/>
      <color theme="10"/>
      <name val="Calibri"/>
      <family val="2"/>
      <scheme val="minor"/>
    </font>
    <font>
      <i/>
      <sz val="14"/>
      <color theme="1"/>
      <name val="Calibri (Body)"/>
    </font>
    <font>
      <b/>
      <sz val="22"/>
      <color theme="1"/>
      <name val="Calibri"/>
      <family val="2"/>
    </font>
    <font>
      <sz val="12"/>
      <color rgb="FFFF0000"/>
      <name val="Calibri (Body)"/>
    </font>
    <font>
      <b/>
      <u/>
      <sz val="14"/>
      <color theme="1"/>
      <name val="Calibri (Body)"/>
    </font>
    <font>
      <b/>
      <sz val="22"/>
      <color rgb="FFA1C2D9"/>
      <name val="Calibri (Body)"/>
    </font>
    <font>
      <b/>
      <sz val="22"/>
      <color rgb="FFA1C2D9"/>
      <name val="Calibri"/>
      <family val="2"/>
    </font>
    <font>
      <i/>
      <sz val="14"/>
      <color theme="1"/>
      <name val="Calibri"/>
      <family val="2"/>
    </font>
    <font>
      <b/>
      <i/>
      <u/>
      <sz val="12"/>
      <color theme="1"/>
      <name val="Calibri"/>
      <family val="2"/>
      <scheme val="minor"/>
    </font>
    <font>
      <b/>
      <i/>
      <sz val="12"/>
      <color theme="1"/>
      <name val="Calibri (Body)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1C2D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" fontId="0" fillId="0" borderId="0" xfId="0" applyNumberFormat="1"/>
    <xf numFmtId="0" fontId="0" fillId="0" borderId="0" xfId="0" applyAlignment="1"/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Fill="1" applyAlignment="1">
      <alignment horizontal="right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2" fontId="0" fillId="0" borderId="0" xfId="0" applyNumberFormat="1"/>
    <xf numFmtId="0" fontId="0" fillId="0" borderId="0" xfId="0" applyFill="1" applyAlignment="1">
      <alignment horizontal="right"/>
    </xf>
    <xf numFmtId="0" fontId="0" fillId="0" borderId="0" xfId="0" applyFill="1"/>
    <xf numFmtId="0" fontId="3" fillId="0" borderId="0" xfId="0" applyFont="1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/>
    <xf numFmtId="164" fontId="0" fillId="0" borderId="0" xfId="0" applyNumberFormat="1" applyFill="1"/>
    <xf numFmtId="1" fontId="0" fillId="0" borderId="0" xfId="0" applyNumberFormat="1" applyFill="1"/>
    <xf numFmtId="165" fontId="0" fillId="0" borderId="0" xfId="0" applyNumberFormat="1" applyFill="1"/>
    <xf numFmtId="1" fontId="1" fillId="0" borderId="0" xfId="0" applyNumberFormat="1" applyFont="1" applyFill="1"/>
    <xf numFmtId="0" fontId="0" fillId="0" borderId="0" xfId="0" applyAlignment="1">
      <alignment vertical="center"/>
    </xf>
    <xf numFmtId="1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164" fontId="0" fillId="0" borderId="0" xfId="0" applyNumberFormat="1" applyAlignment="1" applyProtection="1">
      <alignment horizontal="center"/>
    </xf>
    <xf numFmtId="0" fontId="11" fillId="0" borderId="0" xfId="0" applyFont="1" applyAlignment="1">
      <alignment horizontal="right"/>
    </xf>
    <xf numFmtId="0" fontId="0" fillId="0" borderId="0" xfId="0" quotePrefix="1" applyFill="1" applyAlignment="1">
      <alignment horizontal="right"/>
    </xf>
    <xf numFmtId="0" fontId="3" fillId="0" borderId="0" xfId="0" applyFont="1" applyFill="1" applyAlignment="1">
      <alignment horizontal="right"/>
    </xf>
    <xf numFmtId="164" fontId="1" fillId="2" borderId="0" xfId="0" applyNumberFormat="1" applyFont="1" applyFill="1" applyAlignment="1" applyProtection="1">
      <alignment horizontal="center"/>
      <protection locked="0"/>
    </xf>
    <xf numFmtId="1" fontId="1" fillId="2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0" fillId="0" borderId="0" xfId="0" applyFill="1" applyAlignment="1"/>
    <xf numFmtId="0" fontId="0" fillId="0" borderId="0" xfId="0" applyFill="1" applyAlignment="1" applyProtection="1">
      <alignment horizontal="right"/>
    </xf>
    <xf numFmtId="0" fontId="0" fillId="3" borderId="0" xfId="0" applyFont="1" applyFill="1" applyAlignment="1">
      <alignment horizontal="right"/>
    </xf>
    <xf numFmtId="0" fontId="0" fillId="3" borderId="0" xfId="0" applyFont="1" applyFill="1" applyAlignment="1">
      <alignment horizontal="center"/>
    </xf>
    <xf numFmtId="0" fontId="5" fillId="0" borderId="0" xfId="0" applyFont="1"/>
    <xf numFmtId="0" fontId="10" fillId="0" borderId="0" xfId="0" applyFont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8" fillId="0" borderId="0" xfId="1" applyBorder="1"/>
    <xf numFmtId="0" fontId="10" fillId="0" borderId="0" xfId="0" applyFont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/>
    <xf numFmtId="164" fontId="0" fillId="0" borderId="0" xfId="0" applyNumberForma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right"/>
    </xf>
    <xf numFmtId="1" fontId="0" fillId="0" borderId="0" xfId="0" applyNumberFormat="1" applyFill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0" fillId="4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Alignment="1"/>
    <xf numFmtId="164" fontId="1" fillId="2" borderId="0" xfId="0" applyNumberFormat="1" applyFont="1" applyFill="1" applyProtection="1">
      <protection locked="0"/>
    </xf>
    <xf numFmtId="165" fontId="1" fillId="2" borderId="0" xfId="0" applyNumberFormat="1" applyFont="1" applyFill="1" applyProtection="1">
      <protection locked="0"/>
    </xf>
    <xf numFmtId="1" fontId="1" fillId="2" borderId="0" xfId="0" applyNumberFormat="1" applyFont="1" applyFill="1" applyProtection="1">
      <protection locked="0"/>
    </xf>
    <xf numFmtId="1" fontId="0" fillId="3" borderId="0" xfId="0" applyNumberFormat="1" applyFont="1" applyFill="1" applyAlignment="1">
      <alignment horizontal="center"/>
    </xf>
    <xf numFmtId="0" fontId="1" fillId="2" borderId="0" xfId="0" applyFont="1" applyFill="1" applyAlignment="1" applyProtection="1">
      <alignment horizontal="center" vertical="center"/>
      <protection locked="0"/>
    </xf>
    <xf numFmtId="9" fontId="1" fillId="2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0" fillId="0" borderId="0" xfId="0" applyFont="1"/>
    <xf numFmtId="0" fontId="3" fillId="0" borderId="0" xfId="0" applyFont="1"/>
    <xf numFmtId="0" fontId="0" fillId="0" borderId="0" xfId="0" applyFont="1" applyFill="1" applyAlignment="1">
      <alignment horizontal="center"/>
    </xf>
    <xf numFmtId="1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 applyProtection="1">
      <protection locked="0"/>
    </xf>
    <xf numFmtId="0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A1C2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1587500</xdr:colOff>
      <xdr:row>2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1ECCF0-6D2A-A343-9A92-69D357E4C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15000" cy="5715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431800</xdr:colOff>
      <xdr:row>0</xdr:row>
      <xdr:rowOff>1257300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E44CF75-9163-6A4D-9FAE-E705E9F07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7300" cy="1257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431800</xdr:colOff>
      <xdr:row>0</xdr:row>
      <xdr:rowOff>1257300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EDA483-6068-7045-B65C-C03194B2A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7300" cy="1257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431800</xdr:colOff>
      <xdr:row>0</xdr:row>
      <xdr:rowOff>1257300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8AF5D5-AE33-4946-97E6-C16D014AC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7300" cy="1257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431800</xdr:colOff>
      <xdr:row>0</xdr:row>
      <xdr:rowOff>1257300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1DD3CCC-FEC5-1C41-AF81-9E56185D7D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7300" cy="12573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431800</xdr:colOff>
      <xdr:row>0</xdr:row>
      <xdr:rowOff>1257300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D2DF507-AB54-6748-B5A1-E7CBA8478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7300" cy="12573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431800</xdr:colOff>
      <xdr:row>0</xdr:row>
      <xdr:rowOff>1257300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EDD377B-6210-ED42-ABCE-310D5B649C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7300" cy="12573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431800</xdr:colOff>
      <xdr:row>0</xdr:row>
      <xdr:rowOff>1257300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978DB10-1EBE-EE43-B04E-C18F03CC6F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7300" cy="12573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431800</xdr:colOff>
      <xdr:row>0</xdr:row>
      <xdr:rowOff>1257300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E06FFB5-B34F-A24A-BAC1-CFC3463DF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7300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CA739-D5B2-D642-9063-71378F56B196}">
  <dimension ref="G1:G6"/>
  <sheetViews>
    <sheetView showGridLines="0" workbookViewId="0">
      <selection activeCell="G2" sqref="G1:G2"/>
    </sheetView>
  </sheetViews>
  <sheetFormatPr baseColWidth="10" defaultRowHeight="16"/>
  <cols>
    <col min="1" max="1" width="10.83203125" style="45" customWidth="1"/>
    <col min="2" max="5" width="10.83203125" style="45"/>
    <col min="6" max="6" width="21" style="45" customWidth="1"/>
    <col min="7" max="7" width="141.33203125" style="45" customWidth="1"/>
    <col min="8" max="16384" width="10.83203125" style="45"/>
  </cols>
  <sheetData>
    <row r="1" spans="7:7" ht="38" customHeight="1">
      <c r="G1" s="44" t="s">
        <v>94</v>
      </c>
    </row>
    <row r="2" spans="7:7" ht="409" customHeight="1">
      <c r="G2" s="46" t="s">
        <v>142</v>
      </c>
    </row>
    <row r="3" spans="7:7" ht="37" customHeight="1"/>
    <row r="6" spans="7:7">
      <c r="G6" s="47"/>
    </row>
  </sheetData>
  <sheetProtection sheet="1" objects="1" scenarios="1" selectLockedCells="1" selectUn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8E170-E2A9-F941-9783-5ED984CB2B20}">
  <dimension ref="A1:Y25"/>
  <sheetViews>
    <sheetView showGridLines="0" zoomScaleNormal="100" workbookViewId="0">
      <selection activeCell="C5" sqref="C5"/>
    </sheetView>
  </sheetViews>
  <sheetFormatPr baseColWidth="10" defaultRowHeight="16"/>
  <cols>
    <col min="1" max="1" width="10.83203125" customWidth="1"/>
    <col min="2" max="2" width="11.33203125" customWidth="1"/>
    <col min="4" max="5" width="15.83203125" bestFit="1" customWidth="1"/>
    <col min="6" max="6" width="15.83203125" customWidth="1"/>
    <col min="7" max="7" width="15.6640625" bestFit="1" customWidth="1"/>
    <col min="8" max="8" width="9.1640625" bestFit="1" customWidth="1"/>
    <col min="9" max="9" width="9.1640625" customWidth="1"/>
    <col min="10" max="10" width="24.5" bestFit="1" customWidth="1"/>
    <col min="11" max="11" width="20.6640625" bestFit="1" customWidth="1"/>
  </cols>
  <sheetData>
    <row r="1" spans="1:25" ht="100" customHeight="1">
      <c r="A1" s="85" t="s">
        <v>112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25" ht="16" customHeight="1">
      <c r="D2" s="48"/>
      <c r="E2" s="48"/>
      <c r="F2" s="48"/>
      <c r="G2" s="48"/>
      <c r="H2" s="48"/>
      <c r="I2" s="48"/>
      <c r="J2" s="48"/>
      <c r="K2" s="48"/>
      <c r="O2" s="16"/>
      <c r="P2" s="16"/>
      <c r="Q2" s="16"/>
      <c r="R2" s="23"/>
      <c r="S2" s="5"/>
      <c r="T2" s="4"/>
      <c r="U2" s="5"/>
      <c r="V2" s="5"/>
      <c r="W2" s="5"/>
      <c r="X2" s="16"/>
      <c r="Y2" s="24"/>
    </row>
    <row r="3" spans="1:25">
      <c r="B3" s="15" t="s">
        <v>3</v>
      </c>
      <c r="C3" s="61">
        <v>0</v>
      </c>
      <c r="D3" s="3"/>
      <c r="E3" s="42" t="s">
        <v>7</v>
      </c>
      <c r="F3" s="4"/>
      <c r="G3" s="42" t="s">
        <v>9</v>
      </c>
      <c r="H3" s="42" t="s">
        <v>10</v>
      </c>
      <c r="I3" s="5"/>
      <c r="K3" s="42" t="s">
        <v>8</v>
      </c>
      <c r="O3" s="15"/>
      <c r="P3" s="25"/>
      <c r="Q3" s="16"/>
      <c r="R3" s="15"/>
      <c r="S3" s="26"/>
      <c r="T3" s="16"/>
      <c r="U3" s="23"/>
      <c r="V3" s="23"/>
      <c r="W3" s="23"/>
      <c r="X3" s="15"/>
      <c r="Y3" s="26"/>
    </row>
    <row r="4" spans="1:25">
      <c r="B4" s="15" t="s">
        <v>4</v>
      </c>
      <c r="C4" s="2">
        <f>C3/2.2</f>
        <v>0</v>
      </c>
      <c r="D4" s="1" t="s">
        <v>5</v>
      </c>
      <c r="E4" s="9">
        <f>(13.587*C7)+(9.613*C6)+(198)-(3.351*C8)+674</f>
        <v>872</v>
      </c>
      <c r="G4" s="3" t="s">
        <v>11</v>
      </c>
      <c r="H4" s="3">
        <v>1.2</v>
      </c>
      <c r="I4" s="3"/>
      <c r="J4" s="1" t="s">
        <v>16</v>
      </c>
      <c r="K4" s="9">
        <f>E4*H4</f>
        <v>1046.3999999999999</v>
      </c>
      <c r="O4" s="15"/>
      <c r="P4" s="25"/>
      <c r="Q4" s="16"/>
      <c r="R4" s="15"/>
      <c r="S4" s="26"/>
      <c r="T4" s="16"/>
      <c r="U4" s="23"/>
      <c r="V4" s="23"/>
      <c r="W4" s="23"/>
      <c r="X4" s="15"/>
      <c r="Y4" s="26"/>
    </row>
    <row r="5" spans="1:25">
      <c r="B5" s="15" t="s">
        <v>2</v>
      </c>
      <c r="C5" s="62">
        <v>0</v>
      </c>
      <c r="D5" s="1" t="s">
        <v>6</v>
      </c>
      <c r="E5" s="9">
        <f>(13.587*C7)+(9.613*C6)-(3.351*C8)+674</f>
        <v>674</v>
      </c>
      <c r="G5" s="3" t="s">
        <v>12</v>
      </c>
      <c r="H5" s="3">
        <v>1.375</v>
      </c>
      <c r="I5" s="3"/>
      <c r="J5" s="1" t="s">
        <v>17</v>
      </c>
      <c r="K5" s="9">
        <f>E4*H5</f>
        <v>1199</v>
      </c>
      <c r="O5" s="15"/>
      <c r="P5" s="27"/>
      <c r="Q5" s="16"/>
      <c r="R5" s="16"/>
      <c r="S5" s="16"/>
      <c r="T5" s="16"/>
      <c r="U5" s="23"/>
      <c r="V5" s="23"/>
      <c r="W5" s="23"/>
      <c r="X5" s="15"/>
      <c r="Y5" s="26"/>
    </row>
    <row r="6" spans="1:25">
      <c r="B6" s="15" t="s">
        <v>1</v>
      </c>
      <c r="C6" s="2">
        <f>C4*C5</f>
        <v>0</v>
      </c>
      <c r="G6" s="3" t="s">
        <v>13</v>
      </c>
      <c r="H6" s="3">
        <v>1.55</v>
      </c>
      <c r="I6" s="3"/>
      <c r="J6" s="1" t="s">
        <v>18</v>
      </c>
      <c r="K6" s="9">
        <f>E4*H6</f>
        <v>1351.6000000000001</v>
      </c>
      <c r="O6" s="15"/>
      <c r="P6" s="25"/>
      <c r="Q6" s="16"/>
      <c r="R6" s="16"/>
      <c r="S6" s="16"/>
      <c r="T6" s="16"/>
      <c r="U6" s="23"/>
      <c r="V6" s="23"/>
      <c r="W6" s="23"/>
      <c r="X6" s="15"/>
      <c r="Y6" s="26"/>
    </row>
    <row r="7" spans="1:25">
      <c r="B7" s="15" t="s">
        <v>0</v>
      </c>
      <c r="C7" s="2">
        <f>C4-C6</f>
        <v>0</v>
      </c>
      <c r="G7" s="3" t="s">
        <v>14</v>
      </c>
      <c r="H7" s="3">
        <v>1.7250000000000001</v>
      </c>
      <c r="I7" s="3"/>
      <c r="J7" s="1" t="s">
        <v>19</v>
      </c>
      <c r="K7" s="9">
        <f>E4*H7</f>
        <v>1504.2</v>
      </c>
      <c r="O7" s="15"/>
      <c r="P7" s="25"/>
      <c r="Q7" s="16"/>
      <c r="R7" s="16"/>
      <c r="S7" s="16"/>
      <c r="T7" s="16"/>
      <c r="U7" s="23"/>
      <c r="V7" s="23"/>
      <c r="W7" s="23"/>
      <c r="X7" s="15"/>
      <c r="Y7" s="26"/>
    </row>
    <row r="8" spans="1:25">
      <c r="B8" s="15" t="s">
        <v>24</v>
      </c>
      <c r="C8" s="63">
        <v>0</v>
      </c>
      <c r="G8" s="3" t="s">
        <v>15</v>
      </c>
      <c r="H8" s="3">
        <v>1.9</v>
      </c>
      <c r="I8" s="3"/>
      <c r="J8" s="1" t="s">
        <v>20</v>
      </c>
      <c r="K8" s="9">
        <f>E4*H8</f>
        <v>1656.8</v>
      </c>
      <c r="O8" s="15"/>
      <c r="P8" s="26"/>
      <c r="Q8" s="16"/>
      <c r="R8" s="16"/>
      <c r="S8" s="16"/>
      <c r="T8" s="16"/>
      <c r="U8" s="16"/>
      <c r="V8" s="16"/>
      <c r="W8" s="16"/>
      <c r="X8" s="16"/>
      <c r="Y8" s="26"/>
    </row>
    <row r="9" spans="1:25">
      <c r="C9" s="2"/>
      <c r="K9" s="9"/>
      <c r="O9" s="16"/>
      <c r="P9" s="25"/>
      <c r="Q9" s="16"/>
      <c r="R9" s="16"/>
      <c r="S9" s="16"/>
      <c r="T9" s="16"/>
      <c r="U9" s="16"/>
      <c r="V9" s="16"/>
      <c r="W9" s="16"/>
      <c r="X9" s="16"/>
      <c r="Y9" s="26"/>
    </row>
    <row r="10" spans="1:25">
      <c r="B10" s="43"/>
      <c r="C10" s="2"/>
      <c r="K10" s="9"/>
      <c r="O10" s="16"/>
      <c r="P10" s="25"/>
      <c r="Q10" s="16"/>
      <c r="R10" s="16"/>
      <c r="S10" s="16"/>
      <c r="T10" s="16"/>
      <c r="U10" s="16"/>
      <c r="V10" s="16"/>
      <c r="W10" s="16"/>
      <c r="X10" s="16"/>
      <c r="Y10" s="28"/>
    </row>
    <row r="11" spans="1:25">
      <c r="B11" s="59" t="s">
        <v>110</v>
      </c>
      <c r="C11" s="2"/>
      <c r="K11" s="64" t="s">
        <v>8</v>
      </c>
      <c r="O11" s="16"/>
      <c r="P11" s="25"/>
      <c r="Q11" s="16"/>
      <c r="R11" s="16"/>
      <c r="S11" s="16"/>
      <c r="T11" s="16"/>
      <c r="U11" s="16"/>
      <c r="V11" s="16"/>
      <c r="W11" s="16"/>
      <c r="X11" s="15"/>
      <c r="Y11" s="26"/>
    </row>
    <row r="12" spans="1:25">
      <c r="A12" s="58"/>
      <c r="B12" s="58" t="s">
        <v>105</v>
      </c>
      <c r="C12" s="1"/>
      <c r="J12" s="1" t="s">
        <v>35</v>
      </c>
      <c r="K12" s="9">
        <f>E5*H4</f>
        <v>808.8</v>
      </c>
      <c r="O12" s="16"/>
      <c r="P12" s="25"/>
      <c r="Q12" s="16"/>
      <c r="R12" s="16"/>
      <c r="S12" s="16"/>
      <c r="T12" s="16"/>
      <c r="U12" s="16"/>
      <c r="V12" s="16"/>
      <c r="W12" s="16"/>
      <c r="X12" s="15"/>
      <c r="Y12" s="26"/>
    </row>
    <row r="13" spans="1:25">
      <c r="A13" s="58"/>
      <c r="B13" s="58" t="s">
        <v>106</v>
      </c>
      <c r="C13" s="1"/>
      <c r="J13" s="1" t="s">
        <v>36</v>
      </c>
      <c r="K13" s="9">
        <f>E5*H5</f>
        <v>926.75</v>
      </c>
      <c r="O13" s="16"/>
      <c r="P13" s="25"/>
      <c r="Q13" s="16"/>
      <c r="R13" s="16"/>
      <c r="S13" s="16"/>
      <c r="T13" s="16"/>
      <c r="U13" s="16"/>
      <c r="V13" s="16"/>
      <c r="W13" s="16"/>
      <c r="X13" s="15"/>
      <c r="Y13" s="26"/>
    </row>
    <row r="14" spans="1:25">
      <c r="A14" s="58"/>
      <c r="B14" s="58" t="s">
        <v>107</v>
      </c>
      <c r="C14" s="1"/>
      <c r="J14" s="1" t="s">
        <v>21</v>
      </c>
      <c r="K14" s="9">
        <f>E5*H6</f>
        <v>1044.7</v>
      </c>
      <c r="O14" s="16"/>
      <c r="P14" s="25"/>
      <c r="Q14" s="16"/>
      <c r="R14" s="16"/>
      <c r="S14" s="16"/>
      <c r="T14" s="16"/>
      <c r="U14" s="16"/>
      <c r="V14" s="16"/>
      <c r="W14" s="16"/>
      <c r="X14" s="15"/>
      <c r="Y14" s="26"/>
    </row>
    <row r="15" spans="1:25">
      <c r="A15" s="58"/>
      <c r="B15" s="58" t="s">
        <v>108</v>
      </c>
      <c r="C15" s="1"/>
      <c r="J15" s="1" t="s">
        <v>22</v>
      </c>
      <c r="K15" s="9">
        <f>E5*H7</f>
        <v>1162.6500000000001</v>
      </c>
      <c r="O15" s="16"/>
      <c r="P15" s="25"/>
      <c r="Q15" s="16"/>
      <c r="R15" s="16"/>
      <c r="S15" s="16"/>
      <c r="T15" s="16"/>
      <c r="U15" s="16"/>
      <c r="V15" s="16"/>
      <c r="W15" s="16"/>
      <c r="X15" s="15"/>
      <c r="Y15" s="26"/>
    </row>
    <row r="16" spans="1:25">
      <c r="A16" s="58"/>
      <c r="B16" s="58" t="s">
        <v>109</v>
      </c>
      <c r="C16" s="1"/>
      <c r="J16" s="1" t="s">
        <v>23</v>
      </c>
      <c r="K16" s="9">
        <f>E5*H8</f>
        <v>1280.5999999999999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9" spans="2:4" s="7" customFormat="1">
      <c r="B19" s="7" t="s">
        <v>111</v>
      </c>
      <c r="D19" s="60"/>
    </row>
    <row r="20" spans="2:4">
      <c r="B20" t="s">
        <v>113</v>
      </c>
    </row>
    <row r="21" spans="2:4">
      <c r="B21" t="s">
        <v>114</v>
      </c>
    </row>
    <row r="22" spans="2:4">
      <c r="B22" s="7"/>
    </row>
    <row r="25" spans="2:4">
      <c r="C25" s="43"/>
    </row>
  </sheetData>
  <sheetProtection sheet="1" objects="1" scenarios="1" selectLockedCells="1"/>
  <mergeCells count="1">
    <mergeCell ref="A1:K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FC01B-043E-4D49-B5C6-403E79183241}">
  <dimension ref="A1:O31"/>
  <sheetViews>
    <sheetView showGridLines="0" tabSelected="1" workbookViewId="0">
      <selection activeCell="C10" sqref="C10"/>
    </sheetView>
  </sheetViews>
  <sheetFormatPr baseColWidth="10" defaultRowHeight="16"/>
  <cols>
    <col min="1" max="1" width="10.83203125" customWidth="1"/>
    <col min="2" max="2" width="28.83203125" style="1" customWidth="1"/>
  </cols>
  <sheetData>
    <row r="1" spans="1:15" ht="100" customHeight="1">
      <c r="B1" s="87" t="s">
        <v>141</v>
      </c>
      <c r="C1" s="87"/>
      <c r="D1" s="87"/>
      <c r="E1" s="87"/>
      <c r="F1" s="87"/>
      <c r="G1" s="87"/>
      <c r="H1" s="87"/>
      <c r="I1" s="87"/>
    </row>
    <row r="3" spans="1:15">
      <c r="B3" s="1" t="s">
        <v>143</v>
      </c>
      <c r="C3" s="38">
        <v>0</v>
      </c>
    </row>
    <row r="4" spans="1:15">
      <c r="B4" s="1" t="s">
        <v>33</v>
      </c>
      <c r="C4" s="38">
        <v>0</v>
      </c>
    </row>
    <row r="5" spans="1:15">
      <c r="C5" s="3"/>
    </row>
    <row r="6" spans="1:15">
      <c r="B6" s="1" t="s">
        <v>144</v>
      </c>
      <c r="C6" s="38">
        <v>1</v>
      </c>
      <c r="E6" t="s">
        <v>152</v>
      </c>
    </row>
    <row r="7" spans="1:15">
      <c r="B7" s="41" t="s">
        <v>148</v>
      </c>
      <c r="C7" s="3">
        <f>C3*C6</f>
        <v>0</v>
      </c>
    </row>
    <row r="8" spans="1:15">
      <c r="B8" s="1" t="s">
        <v>146</v>
      </c>
      <c r="C8" s="3">
        <f>C7*4</f>
        <v>0</v>
      </c>
    </row>
    <row r="9" spans="1:15">
      <c r="B9" s="1" t="s">
        <v>145</v>
      </c>
      <c r="C9" s="83">
        <f>C4-C8</f>
        <v>0</v>
      </c>
      <c r="E9" s="42" t="s">
        <v>71</v>
      </c>
      <c r="F9" s="56" t="s">
        <v>37</v>
      </c>
      <c r="G9" s="56" t="s">
        <v>38</v>
      </c>
    </row>
    <row r="10" spans="1:15">
      <c r="B10" s="1" t="s">
        <v>147</v>
      </c>
      <c r="C10" s="38" t="s">
        <v>77</v>
      </c>
      <c r="E10" s="19" t="s">
        <v>72</v>
      </c>
      <c r="F10" s="11">
        <f>C9/4</f>
        <v>0</v>
      </c>
      <c r="G10" s="11">
        <v>0</v>
      </c>
      <c r="J10" s="16"/>
      <c r="K10" s="79"/>
      <c r="L10" s="16"/>
      <c r="M10" s="70"/>
      <c r="N10" s="70"/>
      <c r="O10" s="70"/>
    </row>
    <row r="11" spans="1:15">
      <c r="B11" s="41" t="s">
        <v>149</v>
      </c>
      <c r="C11" s="9">
        <f>VLOOKUP(C10,E10:G30,2,FALSE)</f>
        <v>0</v>
      </c>
      <c r="E11" s="19" t="s">
        <v>73</v>
      </c>
      <c r="F11" s="11">
        <f>(C9*0.95)/4</f>
        <v>0</v>
      </c>
      <c r="G11" s="11">
        <f>(C9*0.05)/9</f>
        <v>0</v>
      </c>
      <c r="K11" s="16"/>
      <c r="L11" s="16"/>
      <c r="M11" s="80"/>
      <c r="N11" s="54"/>
      <c r="O11" s="54"/>
    </row>
    <row r="12" spans="1:15">
      <c r="B12" s="41" t="s">
        <v>150</v>
      </c>
      <c r="C12" s="9">
        <f>VLOOKUP(C10,E10:G30,3,FALSE)</f>
        <v>0</v>
      </c>
      <c r="E12" s="19" t="s">
        <v>74</v>
      </c>
      <c r="F12" s="11">
        <f>(C9*0.9)/4</f>
        <v>0</v>
      </c>
      <c r="G12" s="11">
        <f>(C9*0.1)/9</f>
        <v>0</v>
      </c>
      <c r="K12" s="16"/>
      <c r="L12" s="16"/>
      <c r="M12" s="80"/>
      <c r="N12" s="54"/>
      <c r="O12" s="54"/>
    </row>
    <row r="13" spans="1:15">
      <c r="E13" s="19" t="s">
        <v>93</v>
      </c>
      <c r="F13" s="11">
        <f>(C9*0.85)/4</f>
        <v>0</v>
      </c>
      <c r="G13" s="11">
        <f>(C9*0.15)/9</f>
        <v>0</v>
      </c>
      <c r="K13" s="16"/>
      <c r="L13" s="16"/>
      <c r="M13" s="80"/>
      <c r="N13" s="54"/>
      <c r="O13" s="54"/>
    </row>
    <row r="14" spans="1:15">
      <c r="E14" s="19" t="s">
        <v>75</v>
      </c>
      <c r="F14" s="11">
        <f>(C9*0.8)/4</f>
        <v>0</v>
      </c>
      <c r="G14" s="11">
        <f>(C9*0.2)/9</f>
        <v>0</v>
      </c>
      <c r="K14" s="16"/>
      <c r="L14" s="16"/>
      <c r="M14" s="80"/>
      <c r="N14" s="54"/>
      <c r="O14" s="54"/>
    </row>
    <row r="15" spans="1:15">
      <c r="E15" s="19" t="s">
        <v>76</v>
      </c>
      <c r="F15" s="11">
        <f>(C9*0.75)/4</f>
        <v>0</v>
      </c>
      <c r="G15" s="11">
        <f>(C9*0.25)/9</f>
        <v>0</v>
      </c>
      <c r="K15" s="16"/>
      <c r="L15" s="16"/>
      <c r="M15" s="80"/>
      <c r="N15" s="54"/>
      <c r="O15" s="54"/>
    </row>
    <row r="16" spans="1:15">
      <c r="A16" s="77">
        <v>0.8</v>
      </c>
      <c r="E16" s="19" t="s">
        <v>77</v>
      </c>
      <c r="F16" s="11">
        <f>(C9*0.7)/4</f>
        <v>0</v>
      </c>
      <c r="G16" s="11">
        <f>(C9*0.3)/9</f>
        <v>0</v>
      </c>
      <c r="K16" s="16"/>
      <c r="L16" s="16"/>
      <c r="M16" s="80"/>
      <c r="N16" s="54"/>
      <c r="O16" s="54"/>
    </row>
    <row r="17" spans="1:15">
      <c r="A17" s="78">
        <v>0.9</v>
      </c>
      <c r="E17" s="19" t="s">
        <v>79</v>
      </c>
      <c r="F17" s="11">
        <f>(C9*0.65)/4</f>
        <v>0</v>
      </c>
      <c r="G17" s="11">
        <f>(C9*0.45)/9</f>
        <v>0</v>
      </c>
      <c r="K17" s="16"/>
      <c r="L17" s="16"/>
      <c r="M17" s="80"/>
      <c r="N17" s="54"/>
      <c r="O17" s="54"/>
    </row>
    <row r="18" spans="1:15">
      <c r="A18" s="77">
        <v>1</v>
      </c>
      <c r="E18" s="19" t="s">
        <v>80</v>
      </c>
      <c r="F18" s="11">
        <f>(C9*0.6)/4</f>
        <v>0</v>
      </c>
      <c r="G18" s="11">
        <f>(C9*0.4)/9</f>
        <v>0</v>
      </c>
      <c r="K18" s="16"/>
      <c r="L18" s="16"/>
      <c r="M18" s="80"/>
      <c r="N18" s="54"/>
      <c r="O18" s="54"/>
    </row>
    <row r="19" spans="1:15">
      <c r="A19" s="77">
        <v>1.1000000000000001</v>
      </c>
      <c r="E19" s="19" t="s">
        <v>81</v>
      </c>
      <c r="F19" s="11">
        <f>(C9*0.55)/4</f>
        <v>0</v>
      </c>
      <c r="G19" s="11">
        <f>(C9*0.45)/9</f>
        <v>0</v>
      </c>
      <c r="K19" s="16"/>
      <c r="L19" s="16"/>
      <c r="M19" s="80"/>
      <c r="N19" s="54"/>
      <c r="O19" s="54"/>
    </row>
    <row r="20" spans="1:15">
      <c r="A20" s="77">
        <v>1.2</v>
      </c>
      <c r="E20" s="19" t="s">
        <v>82</v>
      </c>
      <c r="F20" s="11">
        <f>(C9*0.5)/4</f>
        <v>0</v>
      </c>
      <c r="G20" s="11">
        <f>(C9*0.5)/9</f>
        <v>0</v>
      </c>
      <c r="K20" s="16"/>
      <c r="L20" s="16"/>
      <c r="M20" s="80"/>
      <c r="N20" s="54"/>
      <c r="O20" s="54"/>
    </row>
    <row r="21" spans="1:15">
      <c r="E21" s="19" t="s">
        <v>84</v>
      </c>
      <c r="F21" s="11">
        <f>(C9*0.45)/4</f>
        <v>0</v>
      </c>
      <c r="G21" s="11">
        <f>(C9*0.55)/9</f>
        <v>0</v>
      </c>
      <c r="K21" s="16"/>
      <c r="L21" s="16"/>
      <c r="M21" s="80"/>
      <c r="N21" s="54"/>
      <c r="O21" s="54"/>
    </row>
    <row r="22" spans="1:15">
      <c r="E22" s="19" t="s">
        <v>85</v>
      </c>
      <c r="F22" s="11">
        <f>(C9*0.4)/4</f>
        <v>0</v>
      </c>
      <c r="G22" s="11">
        <f>(C9*0.6)/9</f>
        <v>0</v>
      </c>
      <c r="K22" s="16"/>
      <c r="L22" s="16"/>
      <c r="M22" s="80"/>
      <c r="N22" s="54"/>
      <c r="O22" s="54"/>
    </row>
    <row r="23" spans="1:15">
      <c r="E23" s="19" t="s">
        <v>86</v>
      </c>
      <c r="F23" s="11">
        <f>(C9*0.35)/4</f>
        <v>0</v>
      </c>
      <c r="G23" s="11">
        <f>(C9*0.65)/9</f>
        <v>0</v>
      </c>
      <c r="K23" s="16"/>
      <c r="L23" s="16"/>
      <c r="M23" s="80"/>
      <c r="N23" s="54"/>
      <c r="O23" s="54"/>
    </row>
    <row r="24" spans="1:15">
      <c r="E24" s="19" t="s">
        <v>87</v>
      </c>
      <c r="F24" s="11">
        <f>(C9*0.3)/4</f>
        <v>0</v>
      </c>
      <c r="G24" s="11">
        <f>(C9*0.7)/9</f>
        <v>0</v>
      </c>
      <c r="K24" s="16"/>
      <c r="L24" s="16"/>
      <c r="M24" s="80"/>
      <c r="N24" s="54"/>
      <c r="O24" s="54"/>
    </row>
    <row r="25" spans="1:15">
      <c r="E25" s="19" t="s">
        <v>88</v>
      </c>
      <c r="F25" s="11">
        <f>(C9*0.25)/4</f>
        <v>0</v>
      </c>
      <c r="G25" s="11">
        <f>(C9*0.75)/9</f>
        <v>0</v>
      </c>
      <c r="K25" s="16"/>
      <c r="L25" s="16"/>
      <c r="M25" s="80"/>
      <c r="N25" s="54"/>
      <c r="O25" s="54"/>
    </row>
    <row r="26" spans="1:15">
      <c r="E26" s="19" t="s">
        <v>89</v>
      </c>
      <c r="F26" s="11">
        <f>(C9*0.2)/4</f>
        <v>0</v>
      </c>
      <c r="G26" s="11">
        <f>(C9*0.8)/9</f>
        <v>0</v>
      </c>
      <c r="K26" s="16"/>
      <c r="L26" s="16"/>
      <c r="M26" s="80"/>
      <c r="N26" s="54"/>
      <c r="O26" s="54"/>
    </row>
    <row r="27" spans="1:15">
      <c r="E27" s="19" t="s">
        <v>90</v>
      </c>
      <c r="F27" s="11">
        <f>(C9*0.15)/4</f>
        <v>0</v>
      </c>
      <c r="G27" s="11">
        <f>(C9*0.85)/9</f>
        <v>0</v>
      </c>
      <c r="K27" s="16"/>
      <c r="L27" s="16"/>
      <c r="M27" s="80"/>
      <c r="N27" s="54"/>
      <c r="O27" s="54"/>
    </row>
    <row r="28" spans="1:15">
      <c r="E28" s="21" t="s">
        <v>91</v>
      </c>
      <c r="F28" s="11">
        <f>(C9*0.1)/4</f>
        <v>0</v>
      </c>
      <c r="G28" s="11">
        <f>(C9*0.9)/9</f>
        <v>0</v>
      </c>
      <c r="K28" s="16"/>
      <c r="L28" s="16"/>
      <c r="M28" s="80"/>
      <c r="N28" s="54"/>
      <c r="O28" s="54"/>
    </row>
    <row r="29" spans="1:15">
      <c r="E29" s="21" t="s">
        <v>92</v>
      </c>
      <c r="F29" s="11">
        <f>(C9*0.05)/4</f>
        <v>0</v>
      </c>
      <c r="G29" s="11">
        <f>(C9*0.95)/9</f>
        <v>0</v>
      </c>
      <c r="K29" s="16"/>
      <c r="L29" s="16"/>
      <c r="M29" s="81"/>
      <c r="N29" s="54"/>
      <c r="O29" s="54"/>
    </row>
    <row r="30" spans="1:15">
      <c r="E30" s="20" t="s">
        <v>83</v>
      </c>
      <c r="F30" s="11">
        <f>(C9*0)/4</f>
        <v>0</v>
      </c>
      <c r="G30" s="11">
        <f>(C9*1)/9</f>
        <v>0</v>
      </c>
      <c r="K30" s="16"/>
      <c r="L30" s="16"/>
      <c r="M30" s="81"/>
      <c r="N30" s="54"/>
      <c r="O30" s="54"/>
    </row>
    <row r="31" spans="1:15">
      <c r="K31" s="16"/>
      <c r="L31" s="16"/>
      <c r="M31" s="82"/>
      <c r="N31" s="54"/>
      <c r="O31" s="54"/>
    </row>
  </sheetData>
  <sheetProtection sheet="1" objects="1" scenarios="1" selectLockedCells="1"/>
  <mergeCells count="1">
    <mergeCell ref="B1:I1"/>
  </mergeCells>
  <dataValidations count="2">
    <dataValidation type="list" allowBlank="1" showInputMessage="1" showErrorMessage="1" sqref="C6" xr:uid="{D3C8AEED-B8FD-6E41-9EF8-AB2F1EB4F802}">
      <formula1>$A$16:$A$20</formula1>
    </dataValidation>
    <dataValidation type="list" allowBlank="1" showInputMessage="1" showErrorMessage="1" sqref="C10" xr:uid="{7F3620D6-66CC-6A4F-AFC5-AC5FAF070F59}">
      <formula1>$E$10:$E$30</formula1>
    </dataValidation>
  </dataValidations>
  <pageMargins left="0.7" right="0.7" top="0.75" bottom="0.75" header="0.3" footer="0.3"/>
  <ignoredErrors>
    <ignoredError sqref="E28:E29" twoDigitTextYear="1"/>
    <ignoredError sqref="C9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11635-52AD-584E-B8DF-23CAB6B920CD}">
  <dimension ref="B1:G20"/>
  <sheetViews>
    <sheetView showGridLines="0" workbookViewId="0">
      <selection activeCell="C3" sqref="C3"/>
    </sheetView>
  </sheetViews>
  <sheetFormatPr baseColWidth="10" defaultRowHeight="16"/>
  <cols>
    <col min="1" max="1" width="10.83203125" customWidth="1"/>
    <col min="2" max="2" width="20.5" bestFit="1" customWidth="1"/>
    <col min="6" max="6" width="20.6640625" bestFit="1" customWidth="1"/>
    <col min="8" max="8" width="18.5" bestFit="1" customWidth="1"/>
  </cols>
  <sheetData>
    <row r="1" spans="2:7" ht="100" customHeight="1">
      <c r="B1" s="87" t="s">
        <v>99</v>
      </c>
      <c r="C1" s="88"/>
      <c r="D1" s="88"/>
      <c r="E1" s="88"/>
      <c r="F1" s="88"/>
      <c r="G1" s="88"/>
    </row>
    <row r="2" spans="2:7">
      <c r="B2" s="39"/>
      <c r="F2" s="10"/>
    </row>
    <row r="3" spans="2:7">
      <c r="B3" s="40" t="s">
        <v>27</v>
      </c>
      <c r="C3" s="36">
        <v>0</v>
      </c>
      <c r="F3" s="15" t="s">
        <v>34</v>
      </c>
      <c r="G3" s="38">
        <v>0</v>
      </c>
    </row>
    <row r="4" spans="2:7">
      <c r="B4" s="40" t="s">
        <v>28</v>
      </c>
      <c r="C4" s="32">
        <f>C3/2.2</f>
        <v>0</v>
      </c>
      <c r="F4" s="1" t="s">
        <v>31</v>
      </c>
      <c r="G4" s="9" t="e">
        <f>C10</f>
        <v>#DIV/0!</v>
      </c>
    </row>
    <row r="5" spans="2:7">
      <c r="B5" s="40" t="s">
        <v>29</v>
      </c>
      <c r="C5" s="30">
        <f>C4*1000</f>
        <v>0</v>
      </c>
      <c r="F5" s="1"/>
      <c r="G5" s="3"/>
    </row>
    <row r="6" spans="2:7">
      <c r="B6" s="40" t="s">
        <v>30</v>
      </c>
      <c r="C6" s="30">
        <f>C5*5.9</f>
        <v>0</v>
      </c>
      <c r="F6" s="41" t="s">
        <v>33</v>
      </c>
      <c r="G6" s="9" t="e">
        <f>G3+G4</f>
        <v>#DIV/0!</v>
      </c>
    </row>
    <row r="7" spans="2:7">
      <c r="B7" s="40" t="s">
        <v>25</v>
      </c>
      <c r="C7" s="37">
        <v>0</v>
      </c>
    </row>
    <row r="8" spans="2:7">
      <c r="B8" s="40" t="s">
        <v>32</v>
      </c>
      <c r="C8" s="30" t="e">
        <f>C6/C7</f>
        <v>#DIV/0!</v>
      </c>
    </row>
    <row r="9" spans="2:7">
      <c r="B9" s="40" t="s">
        <v>26</v>
      </c>
      <c r="C9" s="30">
        <f>C7*7</f>
        <v>0</v>
      </c>
    </row>
    <row r="10" spans="2:7">
      <c r="B10" s="31" t="s">
        <v>31</v>
      </c>
      <c r="C10" s="30" t="e">
        <f>C6/C9</f>
        <v>#DIV/0!</v>
      </c>
    </row>
    <row r="11" spans="2:7">
      <c r="B11" s="7"/>
      <c r="C11" s="8"/>
    </row>
    <row r="12" spans="2:7">
      <c r="B12" s="7"/>
      <c r="C12" s="2"/>
    </row>
    <row r="13" spans="2:7">
      <c r="B13" s="1"/>
      <c r="C13" s="2"/>
    </row>
    <row r="14" spans="2:7">
      <c r="B14" s="1"/>
      <c r="C14" s="2"/>
    </row>
    <row r="15" spans="2:7">
      <c r="B15" s="1"/>
    </row>
    <row r="16" spans="2:7">
      <c r="B16" s="1"/>
    </row>
    <row r="17" spans="2:2">
      <c r="B17" s="1"/>
    </row>
    <row r="18" spans="2:2">
      <c r="B18" s="1"/>
    </row>
    <row r="19" spans="2:2">
      <c r="B19" s="1"/>
    </row>
    <row r="20" spans="2:2">
      <c r="B20" s="1"/>
    </row>
  </sheetData>
  <sheetProtection sheet="1" objects="1" scenarios="1" selectLockedCells="1"/>
  <mergeCells count="1">
    <mergeCell ref="B1:G1"/>
  </mergeCells>
  <dataValidations count="2">
    <dataValidation allowBlank="1" showInputMessage="1" showErrorMessage="1" promptTitle="Avg Daily Calorie Intake" prompt="This should be the average daily calorie intake over the duration you entered for the &quot;Duration (Weeks)&quot;  cell." sqref="F3" xr:uid="{DB527406-586B-764F-9439-217D2909BDB8}"/>
    <dataValidation allowBlank="1" showInputMessage="1" showErrorMessage="1" prompt="Over your period of weight loss" sqref="G3" xr:uid="{88BDF71C-B2E9-794F-9651-44181A849AF9}"/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C88CE-E3C6-C741-818B-EFC5E80CEC97}">
  <dimension ref="B1:K22"/>
  <sheetViews>
    <sheetView showGridLines="0" workbookViewId="0">
      <selection activeCell="C3" sqref="C3"/>
    </sheetView>
  </sheetViews>
  <sheetFormatPr baseColWidth="10" defaultRowHeight="16"/>
  <cols>
    <col min="2" max="2" width="23.5" style="1" customWidth="1"/>
    <col min="6" max="6" width="21" bestFit="1" customWidth="1"/>
  </cols>
  <sheetData>
    <row r="1" spans="2:11" ht="100" customHeight="1">
      <c r="B1" s="87" t="s">
        <v>100</v>
      </c>
      <c r="C1" s="87"/>
      <c r="D1" s="87"/>
      <c r="E1" s="87"/>
      <c r="F1" s="87"/>
      <c r="G1" s="87"/>
    </row>
    <row r="2" spans="2:11">
      <c r="B2" s="17"/>
    </row>
    <row r="3" spans="2:11">
      <c r="B3" s="15" t="s">
        <v>115</v>
      </c>
      <c r="C3" s="36">
        <v>0</v>
      </c>
      <c r="F3" s="15" t="s">
        <v>34</v>
      </c>
      <c r="G3" s="38">
        <v>0</v>
      </c>
    </row>
    <row r="4" spans="2:11">
      <c r="B4" s="15" t="s">
        <v>116</v>
      </c>
      <c r="C4" s="8">
        <f>C3/2.2</f>
        <v>0</v>
      </c>
      <c r="F4" s="1" t="s">
        <v>31</v>
      </c>
      <c r="G4" s="9" t="e">
        <f>C9</f>
        <v>#DIV/0!</v>
      </c>
    </row>
    <row r="5" spans="2:11">
      <c r="B5" s="15" t="s">
        <v>118</v>
      </c>
      <c r="C5" s="8">
        <f>0.87*C4</f>
        <v>0</v>
      </c>
      <c r="F5" s="1"/>
      <c r="G5" s="3"/>
    </row>
    <row r="6" spans="2:11">
      <c r="B6" s="15" t="s">
        <v>117</v>
      </c>
      <c r="C6" s="3">
        <f>C5*1000</f>
        <v>0</v>
      </c>
      <c r="F6" s="41" t="s">
        <v>33</v>
      </c>
      <c r="G6" s="9" t="e">
        <f>G3+G4</f>
        <v>#DIV/0!</v>
      </c>
    </row>
    <row r="7" spans="2:11">
      <c r="B7" s="15" t="s">
        <v>119</v>
      </c>
      <c r="C7" s="3">
        <f>9*C6</f>
        <v>0</v>
      </c>
    </row>
    <row r="8" spans="2:11">
      <c r="B8" s="15" t="s">
        <v>120</v>
      </c>
      <c r="C8" s="38">
        <v>0</v>
      </c>
    </row>
    <row r="9" spans="2:11">
      <c r="B9" s="1" t="s">
        <v>31</v>
      </c>
      <c r="C9" s="9" t="e">
        <f>C7/C8</f>
        <v>#DIV/0!</v>
      </c>
    </row>
    <row r="12" spans="2:11">
      <c r="B12" s="15"/>
      <c r="C12" s="16"/>
      <c r="D12" s="16"/>
      <c r="E12" s="16"/>
      <c r="F12" s="16"/>
      <c r="G12" s="16"/>
      <c r="H12" s="16"/>
      <c r="I12" s="16"/>
      <c r="J12" s="16"/>
      <c r="K12" s="16"/>
    </row>
    <row r="13" spans="2:11">
      <c r="B13" s="35"/>
      <c r="C13" s="16"/>
      <c r="D13" s="16"/>
      <c r="E13" s="16"/>
      <c r="F13" s="16"/>
      <c r="G13" s="16"/>
      <c r="H13" s="16"/>
      <c r="I13" s="16"/>
      <c r="J13" s="16"/>
      <c r="K13" s="16"/>
    </row>
    <row r="14" spans="2:11">
      <c r="B14" s="15"/>
      <c r="C14" s="24"/>
      <c r="D14" s="16"/>
      <c r="E14" s="16"/>
      <c r="F14" s="15"/>
      <c r="G14" s="5"/>
      <c r="H14" s="16"/>
      <c r="I14" s="16"/>
      <c r="J14" s="16"/>
      <c r="K14" s="16"/>
    </row>
    <row r="15" spans="2:11">
      <c r="B15" s="15"/>
      <c r="C15" s="16"/>
      <c r="D15" s="16"/>
      <c r="E15" s="16"/>
      <c r="F15" s="15"/>
      <c r="G15" s="49"/>
      <c r="H15" s="16"/>
      <c r="I15" s="16"/>
      <c r="J15" s="16"/>
      <c r="K15" s="16"/>
    </row>
    <row r="16" spans="2:11">
      <c r="B16" s="15"/>
      <c r="C16" s="16"/>
      <c r="D16" s="16"/>
      <c r="E16" s="16"/>
      <c r="F16" s="15"/>
      <c r="G16" s="23"/>
      <c r="H16" s="16"/>
      <c r="I16" s="16"/>
      <c r="J16" s="16"/>
      <c r="K16" s="16"/>
    </row>
    <row r="17" spans="2:11">
      <c r="B17" s="15"/>
      <c r="C17" s="16"/>
      <c r="D17" s="16"/>
      <c r="E17" s="16"/>
      <c r="F17" s="10"/>
      <c r="G17" s="49"/>
      <c r="H17" s="16"/>
      <c r="I17" s="16"/>
      <c r="J17" s="16"/>
      <c r="K17" s="16"/>
    </row>
    <row r="18" spans="2:11">
      <c r="B18" s="15"/>
      <c r="C18" s="16"/>
      <c r="D18" s="16"/>
      <c r="E18" s="16"/>
      <c r="F18" s="16"/>
      <c r="G18" s="16"/>
      <c r="H18" s="16"/>
      <c r="I18" s="16"/>
      <c r="J18" s="16"/>
      <c r="K18" s="16"/>
    </row>
    <row r="19" spans="2:11">
      <c r="B19" s="15"/>
      <c r="C19" s="24"/>
      <c r="D19" s="16"/>
      <c r="E19" s="16"/>
      <c r="F19" s="16"/>
      <c r="G19" s="16"/>
      <c r="H19" s="16"/>
      <c r="I19" s="16"/>
      <c r="J19" s="16"/>
      <c r="K19" s="16"/>
    </row>
    <row r="20" spans="2:11">
      <c r="B20" s="15"/>
      <c r="C20" s="26"/>
      <c r="D20" s="16"/>
      <c r="E20" s="16"/>
      <c r="F20" s="16"/>
      <c r="G20" s="16"/>
      <c r="H20" s="16"/>
      <c r="I20" s="16"/>
      <c r="J20" s="16"/>
      <c r="K20" s="16"/>
    </row>
    <row r="21" spans="2:11">
      <c r="B21" s="15"/>
      <c r="C21" s="16"/>
      <c r="D21" s="16"/>
      <c r="E21" s="16"/>
      <c r="F21" s="16"/>
      <c r="G21" s="16"/>
      <c r="H21" s="16"/>
      <c r="I21" s="16"/>
      <c r="J21" s="16"/>
      <c r="K21" s="16"/>
    </row>
    <row r="22" spans="2:11">
      <c r="B22" s="15"/>
      <c r="C22" s="16"/>
      <c r="D22" s="16"/>
      <c r="E22" s="16"/>
      <c r="F22" s="16"/>
      <c r="G22" s="16"/>
      <c r="H22" s="16"/>
      <c r="I22" s="16"/>
      <c r="J22" s="16"/>
      <c r="K22" s="16"/>
    </row>
  </sheetData>
  <sheetProtection sheet="1" objects="1" scenarios="1" selectLockedCells="1"/>
  <mergeCells count="1">
    <mergeCell ref="B1:G1"/>
  </mergeCells>
  <dataValidations count="1">
    <dataValidation allowBlank="1" showInputMessage="1" showErrorMessage="1" prompt="Over the period of weight loss" sqref="G3" xr:uid="{444DAC4D-1C8E-4E41-81C2-0A1E8FBA6359}"/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A0E95-D1F1-ED40-8FCA-3F83892C1ADC}">
  <dimension ref="B1:G32"/>
  <sheetViews>
    <sheetView showGridLines="0" zoomScaleNormal="100" workbookViewId="0">
      <selection activeCell="G3" sqref="G3"/>
    </sheetView>
  </sheetViews>
  <sheetFormatPr baseColWidth="10" defaultRowHeight="16"/>
  <cols>
    <col min="2" max="2" width="22.1640625" bestFit="1" customWidth="1"/>
    <col min="6" max="6" width="21" bestFit="1" customWidth="1"/>
    <col min="7" max="7" width="10.83203125" style="12"/>
  </cols>
  <sheetData>
    <row r="1" spans="2:7" ht="100" customHeight="1">
      <c r="B1" s="87" t="s">
        <v>101</v>
      </c>
      <c r="C1" s="87"/>
      <c r="D1" s="87"/>
      <c r="E1" s="87"/>
      <c r="F1" s="87"/>
      <c r="G1" s="87"/>
    </row>
    <row r="2" spans="2:7">
      <c r="B2" s="17"/>
      <c r="E2" s="16"/>
      <c r="F2" s="16"/>
      <c r="G2" s="18"/>
    </row>
    <row r="3" spans="2:7">
      <c r="B3" s="15" t="s">
        <v>41</v>
      </c>
      <c r="C3" s="61">
        <v>0</v>
      </c>
      <c r="E3" s="16"/>
      <c r="F3" s="15" t="s">
        <v>34</v>
      </c>
      <c r="G3" s="65">
        <v>0</v>
      </c>
    </row>
    <row r="4" spans="2:7">
      <c r="B4" s="15" t="s">
        <v>42</v>
      </c>
      <c r="C4" s="2">
        <f>C3/2.2</f>
        <v>0</v>
      </c>
      <c r="E4" s="16"/>
      <c r="F4" s="1" t="s">
        <v>130</v>
      </c>
      <c r="G4" s="11" t="e">
        <f>C11/C12</f>
        <v>#DIV/0!</v>
      </c>
    </row>
    <row r="5" spans="2:7">
      <c r="B5" s="15" t="s">
        <v>40</v>
      </c>
      <c r="C5" s="14">
        <f>0.25*C4</f>
        <v>0</v>
      </c>
      <c r="E5" s="16"/>
      <c r="F5" s="1"/>
    </row>
    <row r="6" spans="2:7">
      <c r="B6" s="15" t="s">
        <v>43</v>
      </c>
      <c r="C6" s="14">
        <f>0.75*C4</f>
        <v>0</v>
      </c>
      <c r="E6" s="16"/>
      <c r="F6" s="41" t="s">
        <v>33</v>
      </c>
      <c r="G6" s="11" t="e">
        <f>G3-G4</f>
        <v>#DIV/0!</v>
      </c>
    </row>
    <row r="7" spans="2:7">
      <c r="B7" s="15" t="s">
        <v>44</v>
      </c>
      <c r="C7" s="14">
        <f>C5*0.3</f>
        <v>0</v>
      </c>
      <c r="E7" s="16"/>
      <c r="F7" s="16"/>
      <c r="G7" s="18"/>
    </row>
    <row r="8" spans="2:7">
      <c r="B8" s="15" t="s">
        <v>45</v>
      </c>
      <c r="C8" s="14">
        <f>0.87*C6</f>
        <v>0</v>
      </c>
      <c r="E8" s="16"/>
      <c r="F8" s="16"/>
      <c r="G8" s="18"/>
    </row>
    <row r="9" spans="2:7">
      <c r="B9" s="15" t="s">
        <v>46</v>
      </c>
      <c r="C9" s="6">
        <f>(C7*1000)*4</f>
        <v>0</v>
      </c>
      <c r="E9" s="16"/>
      <c r="F9" s="16"/>
      <c r="G9" s="18"/>
    </row>
    <row r="10" spans="2:7">
      <c r="B10" s="15" t="s">
        <v>47</v>
      </c>
      <c r="C10" s="6">
        <f>(C8*1000)*9</f>
        <v>0</v>
      </c>
    </row>
    <row r="11" spans="2:7">
      <c r="B11" s="15" t="s">
        <v>48</v>
      </c>
      <c r="C11" s="6">
        <f>C9+C10</f>
        <v>0</v>
      </c>
    </row>
    <row r="12" spans="2:7">
      <c r="B12" s="15" t="s">
        <v>39</v>
      </c>
      <c r="C12" s="63">
        <v>0</v>
      </c>
    </row>
    <row r="13" spans="2:7">
      <c r="B13" s="15" t="s">
        <v>130</v>
      </c>
      <c r="C13" s="6" t="e">
        <f>C11/C12</f>
        <v>#DIV/0!</v>
      </c>
    </row>
    <row r="14" spans="2:7">
      <c r="B14" s="16"/>
    </row>
    <row r="17" spans="2:7">
      <c r="B17" s="35"/>
      <c r="C17" s="16"/>
      <c r="D17" s="16"/>
      <c r="E17" s="16"/>
      <c r="F17" s="16"/>
      <c r="G17" s="18"/>
    </row>
    <row r="18" spans="2:7">
      <c r="B18" s="15"/>
      <c r="C18" s="50"/>
      <c r="D18" s="16"/>
      <c r="E18" s="16"/>
      <c r="F18" s="15"/>
    </row>
    <row r="19" spans="2:7">
      <c r="B19" s="15"/>
      <c r="C19" s="50"/>
      <c r="D19" s="16"/>
      <c r="E19" s="16"/>
      <c r="F19" s="15"/>
      <c r="G19" s="11"/>
    </row>
    <row r="20" spans="2:7">
      <c r="B20" s="15"/>
      <c r="C20" s="50"/>
      <c r="D20" s="16"/>
      <c r="E20" s="16"/>
      <c r="F20" s="15"/>
    </row>
    <row r="21" spans="2:7">
      <c r="B21" s="15"/>
      <c r="C21" s="50"/>
      <c r="D21" s="16"/>
      <c r="E21" s="16"/>
      <c r="F21" s="10"/>
      <c r="G21" s="11"/>
    </row>
    <row r="22" spans="2:7">
      <c r="B22" s="15"/>
      <c r="C22" s="50"/>
      <c r="D22" s="16"/>
      <c r="E22" s="16"/>
      <c r="F22" s="16"/>
      <c r="G22" s="18"/>
    </row>
    <row r="23" spans="2:7">
      <c r="B23" s="15"/>
      <c r="C23" s="50"/>
      <c r="D23" s="16"/>
      <c r="E23" s="16"/>
      <c r="F23" s="16"/>
      <c r="G23" s="18"/>
    </row>
    <row r="24" spans="2:7">
      <c r="B24" s="15"/>
      <c r="C24" s="26"/>
      <c r="D24" s="16"/>
      <c r="E24" s="16"/>
      <c r="F24" s="16"/>
      <c r="G24" s="18"/>
    </row>
    <row r="25" spans="2:7">
      <c r="B25" s="15"/>
      <c r="C25" s="26"/>
      <c r="D25" s="16"/>
      <c r="E25" s="16"/>
      <c r="F25" s="16"/>
    </row>
    <row r="26" spans="2:7">
      <c r="B26" s="15"/>
      <c r="C26" s="26"/>
      <c r="D26" s="16"/>
      <c r="E26" s="16"/>
      <c r="F26" s="16"/>
    </row>
    <row r="27" spans="2:7">
      <c r="B27" s="15"/>
      <c r="C27" s="26"/>
      <c r="D27" s="16"/>
      <c r="E27" s="16"/>
      <c r="F27" s="16"/>
    </row>
    <row r="28" spans="2:7">
      <c r="B28" s="15"/>
      <c r="C28" s="26"/>
      <c r="D28" s="16"/>
      <c r="E28" s="16"/>
      <c r="F28" s="16"/>
    </row>
    <row r="29" spans="2:7">
      <c r="B29" s="16"/>
      <c r="C29" s="16"/>
      <c r="D29" s="16"/>
      <c r="E29" s="16"/>
      <c r="F29" s="16"/>
    </row>
    <row r="30" spans="2:7">
      <c r="B30" s="16"/>
      <c r="C30" s="16"/>
      <c r="D30" s="16"/>
      <c r="E30" s="16"/>
      <c r="F30" s="16"/>
    </row>
    <row r="31" spans="2:7">
      <c r="B31" s="16"/>
      <c r="C31" s="16"/>
      <c r="D31" s="16"/>
      <c r="E31" s="16"/>
      <c r="F31" s="16"/>
    </row>
    <row r="32" spans="2:7">
      <c r="B32" s="16"/>
      <c r="C32" s="16"/>
      <c r="D32" s="16"/>
      <c r="E32" s="16"/>
      <c r="F32" s="16"/>
    </row>
  </sheetData>
  <sheetProtection sheet="1" objects="1" scenarios="1" selectLockedCells="1"/>
  <mergeCells count="1">
    <mergeCell ref="B1:G1"/>
  </mergeCells>
  <dataValidations count="1">
    <dataValidation allowBlank="1" showInputMessage="1" showErrorMessage="1" prompt="Over the period of weight gain" sqref="G3" xr:uid="{C57C1238-2002-D84B-87F6-4BF5A7815920}"/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3B42D-8147-CD49-B64B-C8BE3740C459}">
  <dimension ref="B1:K30"/>
  <sheetViews>
    <sheetView showGridLines="0" zoomScale="110" zoomScaleNormal="110" workbookViewId="0">
      <selection activeCell="C3" sqref="C3"/>
    </sheetView>
  </sheetViews>
  <sheetFormatPr baseColWidth="10" defaultRowHeight="16"/>
  <cols>
    <col min="1" max="1" width="10.83203125" customWidth="1"/>
    <col min="2" max="2" width="29.5" style="1" bestFit="1" customWidth="1"/>
    <col min="5" max="6" width="10.83203125" customWidth="1"/>
    <col min="8" max="8" width="29.5" bestFit="1" customWidth="1"/>
  </cols>
  <sheetData>
    <row r="1" spans="2:11" ht="100" customHeight="1">
      <c r="B1" s="87" t="s">
        <v>102</v>
      </c>
      <c r="C1" s="87"/>
      <c r="D1" s="87"/>
      <c r="E1" s="87"/>
      <c r="F1" s="87"/>
      <c r="G1" s="29"/>
      <c r="H1" s="29"/>
      <c r="I1" s="29"/>
    </row>
    <row r="2" spans="2:11">
      <c r="B2" s="17"/>
      <c r="G2" s="16"/>
      <c r="H2" s="35"/>
      <c r="I2" s="16"/>
      <c r="J2" s="16"/>
    </row>
    <row r="3" spans="2:11">
      <c r="B3" s="15" t="s">
        <v>3</v>
      </c>
      <c r="C3" s="38">
        <v>0</v>
      </c>
      <c r="F3" t="s">
        <v>128</v>
      </c>
      <c r="J3" s="16"/>
    </row>
    <row r="4" spans="2:11">
      <c r="B4" s="15" t="s">
        <v>49</v>
      </c>
      <c r="C4" s="3">
        <f>C3/2.2</f>
        <v>0</v>
      </c>
      <c r="F4" s="1" t="s">
        <v>97</v>
      </c>
      <c r="G4" s="36">
        <v>2.2000000000000002</v>
      </c>
      <c r="H4" s="15"/>
      <c r="I4" s="52"/>
      <c r="J4" s="16"/>
      <c r="K4" s="16"/>
    </row>
    <row r="5" spans="2:11">
      <c r="B5" s="15" t="s">
        <v>121</v>
      </c>
      <c r="C5" s="37">
        <v>0</v>
      </c>
      <c r="F5" s="1" t="s">
        <v>98</v>
      </c>
      <c r="G5" s="8">
        <f>G4/2.2</f>
        <v>1</v>
      </c>
      <c r="H5" s="15"/>
      <c r="I5" s="51"/>
      <c r="J5" s="16"/>
      <c r="K5" s="16"/>
    </row>
    <row r="6" spans="2:11">
      <c r="B6" s="15" t="s">
        <v>50</v>
      </c>
      <c r="C6" s="37">
        <v>0</v>
      </c>
      <c r="F6" s="16"/>
      <c r="G6" s="16"/>
      <c r="H6" s="15"/>
      <c r="I6" s="5"/>
      <c r="J6" s="16"/>
      <c r="K6" s="16"/>
    </row>
    <row r="7" spans="2:11">
      <c r="B7" s="15" t="s">
        <v>122</v>
      </c>
      <c r="C7" s="3">
        <f>C5-C6</f>
        <v>0</v>
      </c>
      <c r="F7" s="16"/>
      <c r="G7" s="16"/>
      <c r="H7" s="15"/>
      <c r="I7" s="23"/>
      <c r="J7" s="16"/>
      <c r="K7" s="16"/>
    </row>
    <row r="8" spans="2:11">
      <c r="B8" s="15" t="s">
        <v>123</v>
      </c>
      <c r="C8" s="3">
        <f>(C7/100)*C4</f>
        <v>0</v>
      </c>
      <c r="F8" s="16"/>
      <c r="G8" s="16"/>
      <c r="H8" s="15"/>
      <c r="I8" s="23"/>
      <c r="J8" s="16"/>
    </row>
    <row r="9" spans="2:11">
      <c r="B9" s="15" t="s">
        <v>124</v>
      </c>
      <c r="C9" s="8">
        <f>(C8/0.713)</f>
        <v>0</v>
      </c>
      <c r="F9" s="16"/>
      <c r="G9" s="16"/>
      <c r="H9" s="15"/>
      <c r="I9" s="51"/>
      <c r="J9" s="16"/>
    </row>
    <row r="10" spans="2:11">
      <c r="B10" s="15" t="s">
        <v>131</v>
      </c>
      <c r="C10" s="38">
        <v>0</v>
      </c>
      <c r="F10" s="16"/>
      <c r="G10" s="16"/>
      <c r="H10" s="15"/>
      <c r="I10" s="23"/>
      <c r="J10" s="16"/>
    </row>
    <row r="11" spans="2:11">
      <c r="B11" s="15" t="s">
        <v>125</v>
      </c>
      <c r="C11" s="8" t="e">
        <f>C9/C10</f>
        <v>#DIV/0!</v>
      </c>
      <c r="F11" s="16"/>
      <c r="G11" s="16"/>
      <c r="H11" s="15"/>
      <c r="I11" s="51"/>
      <c r="J11" s="16"/>
    </row>
    <row r="12" spans="2:11">
      <c r="B12" s="41" t="s">
        <v>129</v>
      </c>
      <c r="C12" s="8" t="e">
        <f>(C11/C4)*100</f>
        <v>#DIV/0!</v>
      </c>
      <c r="F12" s="16"/>
      <c r="G12" s="16"/>
      <c r="H12" s="15"/>
      <c r="I12" s="51"/>
      <c r="J12" s="16"/>
    </row>
    <row r="13" spans="2:11">
      <c r="B13" s="34"/>
      <c r="C13" s="3"/>
      <c r="F13" s="16"/>
      <c r="G13" s="16"/>
      <c r="H13" s="34"/>
      <c r="I13" s="23"/>
      <c r="J13" s="16"/>
    </row>
    <row r="14" spans="2:11">
      <c r="B14" s="57" t="s">
        <v>127</v>
      </c>
      <c r="C14" s="3"/>
      <c r="F14" s="16"/>
      <c r="G14" s="16"/>
      <c r="H14" s="15"/>
      <c r="I14" s="23"/>
      <c r="J14" s="16"/>
    </row>
    <row r="15" spans="2:11">
      <c r="B15" s="57" t="s">
        <v>104</v>
      </c>
      <c r="C15" s="3"/>
      <c r="F15" s="16"/>
      <c r="G15" s="16"/>
      <c r="H15" s="15"/>
      <c r="I15" s="23"/>
      <c r="J15" s="16"/>
    </row>
    <row r="16" spans="2:11">
      <c r="B16" s="57" t="s">
        <v>126</v>
      </c>
      <c r="C16" s="23"/>
      <c r="D16" s="16"/>
      <c r="E16" s="16"/>
      <c r="F16" s="16"/>
      <c r="G16" s="16"/>
      <c r="H16" s="35"/>
      <c r="I16" s="23"/>
      <c r="J16" s="16"/>
    </row>
    <row r="17" spans="2:10">
      <c r="B17" s="57" t="s">
        <v>132</v>
      </c>
      <c r="C17" s="52"/>
      <c r="D17" s="16"/>
      <c r="E17" s="16"/>
      <c r="F17" s="16"/>
      <c r="G17" s="16"/>
      <c r="H17" s="15"/>
      <c r="I17" s="52"/>
      <c r="J17" s="16"/>
    </row>
    <row r="18" spans="2:10">
      <c r="B18" s="15"/>
      <c r="C18" s="51"/>
      <c r="D18" s="16"/>
      <c r="E18" s="16"/>
      <c r="F18" s="16"/>
      <c r="G18" s="16"/>
      <c r="H18" s="15"/>
      <c r="I18" s="51"/>
      <c r="J18" s="16"/>
    </row>
    <row r="19" spans="2:10">
      <c r="B19" s="15"/>
      <c r="C19" s="5"/>
      <c r="D19" s="16"/>
      <c r="E19" s="16"/>
      <c r="F19" s="16"/>
      <c r="G19" s="16"/>
      <c r="H19" s="15"/>
      <c r="I19" s="5"/>
      <c r="J19" s="16"/>
    </row>
    <row r="20" spans="2:10">
      <c r="B20" s="15"/>
      <c r="C20" s="5"/>
      <c r="D20" s="16"/>
      <c r="E20" s="16"/>
      <c r="F20" s="16"/>
      <c r="G20" s="16"/>
      <c r="H20" s="15"/>
      <c r="I20" s="5"/>
      <c r="J20" s="16"/>
    </row>
    <row r="21" spans="2:10">
      <c r="B21" s="15"/>
      <c r="C21" s="23"/>
      <c r="D21" s="16"/>
      <c r="E21" s="16"/>
      <c r="F21" s="16"/>
      <c r="G21" s="16"/>
      <c r="H21" s="15"/>
      <c r="I21" s="23"/>
      <c r="J21" s="16"/>
    </row>
    <row r="22" spans="2:10">
      <c r="B22" s="15"/>
      <c r="C22" s="51"/>
      <c r="D22" s="16"/>
      <c r="E22" s="16"/>
      <c r="F22" s="16"/>
      <c r="G22" s="16"/>
      <c r="H22" s="15"/>
      <c r="I22" s="51"/>
      <c r="J22" s="16"/>
    </row>
    <row r="23" spans="2:10">
      <c r="B23" s="15"/>
      <c r="C23" s="51"/>
      <c r="D23" s="16"/>
      <c r="E23" s="16"/>
      <c r="F23" s="16"/>
      <c r="G23" s="16"/>
      <c r="H23" s="15"/>
      <c r="I23" s="51"/>
      <c r="J23" s="16"/>
    </row>
    <row r="24" spans="2:10">
      <c r="B24" s="15"/>
      <c r="C24" s="5"/>
      <c r="D24" s="16"/>
      <c r="E24" s="16"/>
      <c r="F24" s="16"/>
      <c r="G24" s="16"/>
      <c r="H24" s="15"/>
      <c r="I24" s="5"/>
      <c r="J24" s="16"/>
    </row>
    <row r="25" spans="2:10">
      <c r="B25" s="15"/>
      <c r="C25" s="51"/>
      <c r="D25" s="16"/>
      <c r="E25" s="16"/>
      <c r="F25" s="16"/>
      <c r="G25" s="16"/>
      <c r="H25" s="15"/>
      <c r="I25" s="51"/>
      <c r="J25" s="16"/>
    </row>
    <row r="26" spans="2:10">
      <c r="B26" s="53"/>
      <c r="C26" s="51"/>
      <c r="D26" s="16"/>
      <c r="E26" s="16"/>
      <c r="F26" s="16"/>
      <c r="G26" s="16"/>
      <c r="H26" s="53"/>
      <c r="I26" s="51"/>
      <c r="J26" s="16"/>
    </row>
    <row r="27" spans="2:10">
      <c r="B27" s="15"/>
      <c r="C27" s="16"/>
      <c r="D27" s="16"/>
      <c r="E27" s="16"/>
      <c r="F27" s="16"/>
      <c r="G27" s="16"/>
      <c r="H27" s="16"/>
      <c r="I27" s="16"/>
      <c r="J27" s="16"/>
    </row>
    <row r="28" spans="2:10">
      <c r="G28" s="16"/>
      <c r="H28" s="16"/>
      <c r="I28" s="16"/>
      <c r="J28" s="16"/>
    </row>
    <row r="29" spans="2:10">
      <c r="G29" s="16"/>
      <c r="H29" s="16"/>
      <c r="I29" s="16"/>
      <c r="J29" s="16"/>
    </row>
    <row r="30" spans="2:10">
      <c r="G30" s="16"/>
      <c r="H30" s="16"/>
      <c r="I30" s="16"/>
      <c r="J30" s="16"/>
    </row>
  </sheetData>
  <sheetProtection sheet="1" objects="1" scenarios="1" selectLockedCells="1"/>
  <mergeCells count="1">
    <mergeCell ref="B1:F1"/>
  </mergeCells>
  <dataValidations count="2">
    <dataValidation allowBlank="1" showInputMessage="1" showErrorMessage="1" prompt="How many weeks do you want to diet to achieve this weight loss goal?" sqref="C10" xr:uid="{E313C0EB-80DA-4149-8C2B-B39536F7A4EA}"/>
    <dataValidation allowBlank="1" showInputMessage="1" showErrorMessage="1" prompt="Do not include % sign or the calculations will be off. Just enter the number without the % sign" sqref="C5 C6" xr:uid="{06884319-B02E-C04A-8B7B-F9528E56ABA6}"/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7E058-DF43-E44D-8F5D-AC08DE4A2437}">
  <dimension ref="B1:N37"/>
  <sheetViews>
    <sheetView showGridLines="0" workbookViewId="0">
      <selection activeCell="J4" sqref="J4"/>
    </sheetView>
  </sheetViews>
  <sheetFormatPr baseColWidth="10" defaultRowHeight="16"/>
  <cols>
    <col min="2" max="2" width="33.1640625" style="1" bestFit="1" customWidth="1"/>
    <col min="6" max="6" width="25" style="1" bestFit="1" customWidth="1"/>
    <col min="12" max="12" width="12.1640625" customWidth="1"/>
  </cols>
  <sheetData>
    <row r="1" spans="2:14" ht="100" customHeight="1">
      <c r="B1" s="87" t="s">
        <v>96</v>
      </c>
      <c r="C1" s="88"/>
      <c r="D1" s="88"/>
      <c r="E1" s="88"/>
      <c r="F1" s="88"/>
      <c r="G1" s="88"/>
    </row>
    <row r="2" spans="2:14">
      <c r="B2" s="17"/>
      <c r="L2" s="16"/>
      <c r="M2" s="16"/>
      <c r="N2" s="16"/>
    </row>
    <row r="3" spans="2:14">
      <c r="B3" s="15" t="s">
        <v>51</v>
      </c>
      <c r="C3" s="67">
        <v>0</v>
      </c>
      <c r="F3" s="15" t="s">
        <v>58</v>
      </c>
      <c r="G3" s="65">
        <v>0</v>
      </c>
      <c r="I3" t="s">
        <v>128</v>
      </c>
      <c r="L3" s="16"/>
      <c r="M3" s="16"/>
      <c r="N3" s="16"/>
    </row>
    <row r="4" spans="2:14">
      <c r="B4" s="1" t="s">
        <v>54</v>
      </c>
      <c r="C4" s="14">
        <f>C3*0.713</f>
        <v>0</v>
      </c>
      <c r="F4" s="1" t="s">
        <v>57</v>
      </c>
      <c r="G4" s="11">
        <f>C8/7</f>
        <v>0</v>
      </c>
      <c r="I4" s="1" t="s">
        <v>97</v>
      </c>
      <c r="J4" s="36">
        <v>2.2000000000000002</v>
      </c>
      <c r="L4" s="15"/>
      <c r="M4" s="52"/>
      <c r="N4" s="16"/>
    </row>
    <row r="5" spans="2:14">
      <c r="B5" s="1" t="s">
        <v>52</v>
      </c>
      <c r="C5" s="6">
        <f>(C4*1000)*0.87*9</f>
        <v>0</v>
      </c>
      <c r="G5" s="12"/>
      <c r="I5" s="1" t="s">
        <v>98</v>
      </c>
      <c r="J5" s="8">
        <f>J4/2.2</f>
        <v>1</v>
      </c>
      <c r="L5" s="15"/>
      <c r="M5" s="51"/>
      <c r="N5" s="16"/>
    </row>
    <row r="6" spans="2:14">
      <c r="B6" s="1" t="s">
        <v>55</v>
      </c>
      <c r="C6" s="14">
        <f>0.287*C3</f>
        <v>0</v>
      </c>
      <c r="F6" s="41" t="s">
        <v>133</v>
      </c>
      <c r="G6" s="11">
        <f>G3-G4</f>
        <v>0</v>
      </c>
      <c r="L6" s="16"/>
      <c r="M6" s="16"/>
      <c r="N6" s="16"/>
    </row>
    <row r="7" spans="2:14">
      <c r="B7" s="1" t="s">
        <v>53</v>
      </c>
      <c r="C7" s="6">
        <f>(C6*1000)*0.3*4</f>
        <v>0</v>
      </c>
    </row>
    <row r="8" spans="2:14">
      <c r="B8" s="1" t="s">
        <v>56</v>
      </c>
      <c r="C8" s="6">
        <f>C7+C5</f>
        <v>0</v>
      </c>
    </row>
    <row r="9" spans="2:14">
      <c r="B9" s="1" t="s">
        <v>57</v>
      </c>
      <c r="C9" s="6">
        <f>C8/7</f>
        <v>0</v>
      </c>
    </row>
    <row r="10" spans="2:14">
      <c r="K10" s="33"/>
    </row>
    <row r="12" spans="2:14">
      <c r="B12" s="17" t="s">
        <v>95</v>
      </c>
    </row>
    <row r="13" spans="2:14">
      <c r="B13" s="15" t="s">
        <v>51</v>
      </c>
      <c r="C13" s="67">
        <v>0</v>
      </c>
      <c r="F13" s="15" t="s">
        <v>58</v>
      </c>
      <c r="G13" s="65">
        <v>0</v>
      </c>
    </row>
    <row r="14" spans="2:14">
      <c r="B14" s="1" t="s">
        <v>59</v>
      </c>
      <c r="C14" s="6">
        <f>847*C13</f>
        <v>0</v>
      </c>
      <c r="F14" s="1" t="s">
        <v>57</v>
      </c>
      <c r="G14" s="11">
        <f>847*C13</f>
        <v>0</v>
      </c>
    </row>
    <row r="15" spans="2:14">
      <c r="G15" s="12"/>
    </row>
    <row r="16" spans="2:14">
      <c r="B16" s="15"/>
      <c r="C16" s="26"/>
      <c r="D16" s="16"/>
      <c r="E16" s="16"/>
      <c r="F16" s="41" t="s">
        <v>133</v>
      </c>
      <c r="G16" s="11">
        <f>G13-G14</f>
        <v>0</v>
      </c>
    </row>
    <row r="17" spans="2:7">
      <c r="B17" s="15"/>
      <c r="C17" s="16"/>
      <c r="D17" s="16"/>
      <c r="E17" s="16"/>
      <c r="F17" s="15"/>
      <c r="G17" s="18"/>
    </row>
    <row r="18" spans="2:7">
      <c r="B18" s="15"/>
      <c r="C18" s="26"/>
      <c r="D18" s="16"/>
      <c r="E18" s="16"/>
      <c r="F18" s="10"/>
      <c r="G18" s="54"/>
    </row>
    <row r="19" spans="2:7">
      <c r="B19" s="15"/>
      <c r="C19" s="26"/>
      <c r="D19" s="16"/>
      <c r="E19" s="16"/>
      <c r="F19" s="15"/>
      <c r="G19" s="16"/>
    </row>
    <row r="20" spans="2:7">
      <c r="B20" s="15"/>
      <c r="C20" s="26"/>
      <c r="D20" s="16"/>
      <c r="E20" s="16"/>
      <c r="F20" s="15"/>
      <c r="G20" s="16"/>
    </row>
    <row r="21" spans="2:7">
      <c r="B21" s="15"/>
      <c r="C21" s="16"/>
      <c r="D21" s="16"/>
      <c r="E21" s="16"/>
      <c r="F21" s="15"/>
      <c r="G21" s="16"/>
    </row>
    <row r="22" spans="2:7">
      <c r="B22" s="15"/>
      <c r="C22" s="16"/>
      <c r="D22" s="16"/>
      <c r="E22" s="16"/>
      <c r="F22" s="15"/>
      <c r="G22" s="16"/>
    </row>
    <row r="23" spans="2:7">
      <c r="B23" s="15"/>
      <c r="C23" s="16"/>
      <c r="D23" s="16"/>
      <c r="E23" s="16"/>
      <c r="F23" s="15"/>
      <c r="G23" s="16"/>
    </row>
    <row r="24" spans="2:7">
      <c r="B24" s="15"/>
      <c r="C24" s="16"/>
      <c r="D24" s="16"/>
      <c r="E24" s="16"/>
      <c r="F24" s="15"/>
    </row>
    <row r="25" spans="2:7">
      <c r="B25" s="35"/>
      <c r="C25" s="16"/>
      <c r="D25" s="16"/>
      <c r="E25" s="16"/>
      <c r="F25" s="15"/>
    </row>
    <row r="26" spans="2:7">
      <c r="B26" s="15"/>
      <c r="C26" s="16"/>
      <c r="D26" s="16"/>
      <c r="E26" s="16"/>
      <c r="F26" s="15"/>
      <c r="G26" s="12"/>
    </row>
    <row r="27" spans="2:7">
      <c r="B27" s="15"/>
      <c r="C27" s="26"/>
      <c r="D27" s="16"/>
      <c r="E27" s="16"/>
      <c r="F27" s="15"/>
      <c r="G27" s="11"/>
    </row>
    <row r="28" spans="2:7">
      <c r="B28" s="15"/>
      <c r="C28" s="16"/>
      <c r="D28" s="16"/>
      <c r="E28" s="16"/>
      <c r="F28" s="15"/>
      <c r="G28" s="12"/>
    </row>
    <row r="29" spans="2:7">
      <c r="B29" s="15"/>
      <c r="C29" s="16"/>
      <c r="D29" s="16"/>
      <c r="E29" s="16"/>
      <c r="F29" s="10"/>
      <c r="G29" s="11"/>
    </row>
    <row r="30" spans="2:7">
      <c r="B30" s="15"/>
      <c r="C30" s="16"/>
      <c r="D30" s="16"/>
      <c r="E30" s="16"/>
      <c r="F30" s="15"/>
    </row>
    <row r="31" spans="2:7">
      <c r="B31" s="15"/>
      <c r="C31" s="16"/>
      <c r="D31" s="16"/>
      <c r="E31" s="16"/>
      <c r="F31" s="15"/>
    </row>
    <row r="32" spans="2:7">
      <c r="B32" s="55"/>
      <c r="C32" s="16"/>
      <c r="D32" s="16"/>
      <c r="E32" s="16"/>
      <c r="F32" s="15"/>
    </row>
    <row r="33" spans="2:6">
      <c r="B33" s="15"/>
      <c r="C33" s="16"/>
      <c r="D33" s="16"/>
      <c r="E33" s="16"/>
      <c r="F33" s="15"/>
    </row>
    <row r="34" spans="2:6">
      <c r="B34" s="15"/>
      <c r="C34" s="16"/>
      <c r="D34" s="16"/>
      <c r="E34" s="16"/>
      <c r="F34" s="15"/>
    </row>
    <row r="35" spans="2:6">
      <c r="B35" s="15"/>
      <c r="C35" s="16"/>
      <c r="D35" s="16"/>
      <c r="E35" s="16"/>
      <c r="F35" s="15"/>
    </row>
    <row r="36" spans="2:6">
      <c r="B36" s="15"/>
      <c r="C36" s="16"/>
      <c r="D36" s="16"/>
      <c r="E36" s="16"/>
      <c r="F36" s="15"/>
    </row>
    <row r="37" spans="2:6">
      <c r="F37" s="15"/>
    </row>
  </sheetData>
  <sheetProtection sheet="1" objects="1" scenarios="1" selectLockedCells="1"/>
  <mergeCells count="1">
    <mergeCell ref="B1:G1"/>
  </mergeCells>
  <dataValidations count="1">
    <dataValidation allowBlank="1" showInputMessage="1" showErrorMessage="1" prompt="This value is obtained from the 'How Long To Diet' tab" sqref="C3 C13" xr:uid="{0D334247-A56F-3345-89DC-81EF4BB3D558}"/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A9D64-C07F-8043-8A0C-D9C039B5A7C8}">
  <dimension ref="B1:N37"/>
  <sheetViews>
    <sheetView showGridLines="0" workbookViewId="0">
      <selection activeCell="C17" sqref="C17"/>
    </sheetView>
  </sheetViews>
  <sheetFormatPr baseColWidth="10" defaultRowHeight="16"/>
  <cols>
    <col min="2" max="2" width="24.83203125" customWidth="1"/>
    <col min="5" max="5" width="15.83203125" bestFit="1" customWidth="1"/>
    <col min="6" max="6" width="15.1640625" bestFit="1" customWidth="1"/>
    <col min="8" max="8" width="14.1640625" bestFit="1" customWidth="1"/>
    <col min="9" max="9" width="18.83203125" customWidth="1"/>
  </cols>
  <sheetData>
    <row r="1" spans="2:12" ht="100" customHeight="1">
      <c r="B1" s="87" t="s">
        <v>103</v>
      </c>
      <c r="C1" s="88"/>
      <c r="D1" s="88"/>
      <c r="E1" s="88"/>
      <c r="F1" s="88"/>
      <c r="G1" s="88"/>
      <c r="H1" s="88"/>
      <c r="I1" s="88"/>
    </row>
    <row r="2" spans="2:12">
      <c r="E2" s="12"/>
      <c r="F2" s="12"/>
      <c r="G2" s="12"/>
      <c r="H2" s="12"/>
      <c r="I2" s="12"/>
    </row>
    <row r="3" spans="2:12">
      <c r="B3" s="15" t="s">
        <v>60</v>
      </c>
      <c r="C3" s="67">
        <v>0</v>
      </c>
      <c r="E3" s="42" t="s">
        <v>61</v>
      </c>
      <c r="F3" s="42" t="s">
        <v>66</v>
      </c>
      <c r="G3" s="42" t="s">
        <v>10</v>
      </c>
      <c r="H3" s="42" t="s">
        <v>62</v>
      </c>
      <c r="I3" s="42" t="s">
        <v>70</v>
      </c>
    </row>
    <row r="4" spans="2:12">
      <c r="E4" s="3" t="s">
        <v>63</v>
      </c>
      <c r="F4" s="3" t="s">
        <v>67</v>
      </c>
      <c r="G4" s="13">
        <v>0.01</v>
      </c>
      <c r="H4" s="12">
        <f>C3*G4</f>
        <v>0</v>
      </c>
      <c r="I4" s="12">
        <f>H4+C3</f>
        <v>0</v>
      </c>
    </row>
    <row r="5" spans="2:12">
      <c r="E5" s="3" t="s">
        <v>63</v>
      </c>
      <c r="F5" s="3" t="s">
        <v>67</v>
      </c>
      <c r="G5" s="13">
        <v>0.02</v>
      </c>
      <c r="H5" s="12">
        <f>G5*C3</f>
        <v>0</v>
      </c>
      <c r="I5" s="12">
        <f>H5+C3</f>
        <v>0</v>
      </c>
    </row>
    <row r="6" spans="2:12">
      <c r="E6" s="3" t="s">
        <v>63</v>
      </c>
      <c r="F6" s="3" t="s">
        <v>67</v>
      </c>
      <c r="G6" s="13">
        <v>0.03</v>
      </c>
      <c r="H6" s="12">
        <f>G6*C3</f>
        <v>0</v>
      </c>
      <c r="I6" s="12">
        <f>C3+H6</f>
        <v>0</v>
      </c>
    </row>
    <row r="7" spans="2:12">
      <c r="E7" s="3" t="s">
        <v>64</v>
      </c>
      <c r="F7" s="3" t="s">
        <v>68</v>
      </c>
      <c r="G7" s="13">
        <v>0.04</v>
      </c>
      <c r="H7" s="12">
        <f>G7*C3</f>
        <v>0</v>
      </c>
      <c r="I7" s="12">
        <f>C3+H7</f>
        <v>0</v>
      </c>
    </row>
    <row r="8" spans="2:12">
      <c r="E8" s="3" t="s">
        <v>64</v>
      </c>
      <c r="F8" s="3" t="s">
        <v>68</v>
      </c>
      <c r="G8" s="13">
        <v>0.05</v>
      </c>
      <c r="H8" s="12">
        <f>G8*C3</f>
        <v>0</v>
      </c>
      <c r="I8" s="12">
        <f>C3+H8</f>
        <v>0</v>
      </c>
    </row>
    <row r="9" spans="2:12">
      <c r="E9" s="3" t="s">
        <v>64</v>
      </c>
      <c r="F9" s="3" t="s">
        <v>68</v>
      </c>
      <c r="G9" s="13">
        <v>0.06</v>
      </c>
      <c r="H9" s="12">
        <f>G9*C3</f>
        <v>0</v>
      </c>
      <c r="I9" s="12">
        <f>C3+H9</f>
        <v>0</v>
      </c>
    </row>
    <row r="10" spans="2:12">
      <c r="E10" s="3" t="s">
        <v>65</v>
      </c>
      <c r="F10" s="3" t="s">
        <v>69</v>
      </c>
      <c r="G10" s="13">
        <v>7.0000000000000007E-2</v>
      </c>
      <c r="H10" s="12">
        <f>G10*C3</f>
        <v>0</v>
      </c>
      <c r="I10" s="12">
        <f>C3+H10</f>
        <v>0</v>
      </c>
    </row>
    <row r="11" spans="2:12">
      <c r="E11" s="3" t="s">
        <v>65</v>
      </c>
      <c r="F11" s="3" t="s">
        <v>69</v>
      </c>
      <c r="G11" s="13">
        <v>0.08</v>
      </c>
      <c r="H11" s="12">
        <f>G11*C3</f>
        <v>0</v>
      </c>
      <c r="I11" s="12">
        <f>C3+H11</f>
        <v>0</v>
      </c>
    </row>
    <row r="12" spans="2:12">
      <c r="E12" s="3" t="s">
        <v>65</v>
      </c>
      <c r="F12" s="3" t="s">
        <v>69</v>
      </c>
      <c r="G12" s="13">
        <v>0.09</v>
      </c>
      <c r="H12" s="12">
        <f>G12*C3</f>
        <v>0</v>
      </c>
      <c r="I12" s="12">
        <f>C3+H12</f>
        <v>0</v>
      </c>
    </row>
    <row r="15" spans="2:12">
      <c r="B15" s="1" t="s">
        <v>151</v>
      </c>
      <c r="C15" s="66">
        <v>0.01</v>
      </c>
    </row>
    <row r="16" spans="2:12">
      <c r="B16" s="15" t="s">
        <v>78</v>
      </c>
      <c r="C16" s="84">
        <f>VLOOKUP(C15,G4:H12,2,FALSE)</f>
        <v>0</v>
      </c>
      <c r="E16" s="42" t="s">
        <v>71</v>
      </c>
      <c r="F16" s="56" t="s">
        <v>37</v>
      </c>
      <c r="G16" s="56" t="s">
        <v>38</v>
      </c>
      <c r="I16" s="69" t="s">
        <v>134</v>
      </c>
      <c r="J16" s="22"/>
      <c r="K16" s="22"/>
      <c r="L16" s="16"/>
    </row>
    <row r="17" spans="2:14">
      <c r="B17" s="1" t="s">
        <v>147</v>
      </c>
      <c r="C17" s="38" t="s">
        <v>72</v>
      </c>
      <c r="E17" s="19" t="s">
        <v>72</v>
      </c>
      <c r="F17" s="11">
        <f>C16/4</f>
        <v>0</v>
      </c>
      <c r="G17" s="11">
        <v>0</v>
      </c>
      <c r="H17" s="16"/>
      <c r="I17" s="74" t="s">
        <v>135</v>
      </c>
      <c r="J17" s="71"/>
      <c r="K17" s="71"/>
      <c r="L17" s="68"/>
      <c r="M17" s="68"/>
      <c r="N17" s="68"/>
    </row>
    <row r="18" spans="2:14">
      <c r="B18" s="41" t="s">
        <v>149</v>
      </c>
      <c r="C18" s="9">
        <f>VLOOKUP(C17,E17:G37,2,FALSE)</f>
        <v>0</v>
      </c>
      <c r="E18" s="19" t="s">
        <v>73</v>
      </c>
      <c r="F18" s="11">
        <f>(C16*0.95)/4</f>
        <v>0</v>
      </c>
      <c r="G18" s="11">
        <f>(C16*0.05)/9</f>
        <v>0</v>
      </c>
      <c r="I18" s="73" t="s">
        <v>137</v>
      </c>
      <c r="J18" s="71"/>
      <c r="K18" s="71"/>
      <c r="L18" s="68"/>
      <c r="M18" s="68"/>
      <c r="N18" s="68"/>
    </row>
    <row r="19" spans="2:14">
      <c r="B19" s="41" t="s">
        <v>150</v>
      </c>
      <c r="C19" s="9">
        <f>VLOOKUP(C17,E17:G37,3,FALSE)</f>
        <v>0</v>
      </c>
      <c r="E19" s="19" t="s">
        <v>74</v>
      </c>
      <c r="F19" s="11">
        <f>(C16*0.9)/4</f>
        <v>0</v>
      </c>
      <c r="G19" s="11">
        <f>(C16*0.1)/9</f>
        <v>0</v>
      </c>
      <c r="I19" s="73" t="s">
        <v>138</v>
      </c>
      <c r="J19" s="71"/>
      <c r="K19" s="71"/>
      <c r="L19" s="68"/>
      <c r="M19" s="68"/>
      <c r="N19" s="68"/>
    </row>
    <row r="20" spans="2:14">
      <c r="E20" s="19" t="s">
        <v>93</v>
      </c>
      <c r="F20" s="11">
        <f>(C16*0.85)/4</f>
        <v>0</v>
      </c>
      <c r="G20" s="11">
        <f>(C16*0.15)/9</f>
        <v>0</v>
      </c>
      <c r="I20" s="72"/>
      <c r="J20" s="71"/>
      <c r="K20" s="71"/>
      <c r="L20" s="68"/>
      <c r="M20" s="68"/>
      <c r="N20" s="68"/>
    </row>
    <row r="21" spans="2:14">
      <c r="E21" s="19" t="s">
        <v>75</v>
      </c>
      <c r="F21" s="11">
        <f>(C16*0.8)/4</f>
        <v>0</v>
      </c>
      <c r="G21" s="11">
        <f>(C16*0.2)/9</f>
        <v>0</v>
      </c>
      <c r="I21" s="76" t="s">
        <v>136</v>
      </c>
      <c r="J21" s="6"/>
      <c r="K21" s="6"/>
    </row>
    <row r="22" spans="2:14">
      <c r="E22" s="19" t="s">
        <v>76</v>
      </c>
      <c r="F22" s="11">
        <f>(C16*0.75)/4</f>
        <v>0</v>
      </c>
      <c r="G22" s="11">
        <f>(C16*0.25)/9</f>
        <v>0</v>
      </c>
      <c r="I22" s="75" t="s">
        <v>139</v>
      </c>
      <c r="J22" s="6"/>
      <c r="K22" s="6"/>
      <c r="L22" s="43"/>
    </row>
    <row r="23" spans="2:14">
      <c r="E23" s="19" t="s">
        <v>77</v>
      </c>
      <c r="F23" s="11">
        <f>(C16*0.7)/4</f>
        <v>0</v>
      </c>
      <c r="G23" s="11">
        <f>(C16*0.3)/9</f>
        <v>0</v>
      </c>
      <c r="H23" s="75"/>
      <c r="I23" s="75" t="s">
        <v>140</v>
      </c>
      <c r="J23" s="6"/>
      <c r="K23" s="6"/>
    </row>
    <row r="24" spans="2:14">
      <c r="E24" s="19" t="s">
        <v>79</v>
      </c>
      <c r="F24" s="11">
        <f>(C16*0.65)/4</f>
        <v>0</v>
      </c>
      <c r="G24" s="11">
        <f>(C16*0.45)/9</f>
        <v>0</v>
      </c>
      <c r="I24" s="12"/>
      <c r="J24" s="6"/>
      <c r="K24" s="6"/>
    </row>
    <row r="25" spans="2:14">
      <c r="E25" s="19" t="s">
        <v>80</v>
      </c>
      <c r="F25" s="11">
        <f>(C16*0.6)/4</f>
        <v>0</v>
      </c>
      <c r="G25" s="11">
        <f>(C16*0.4)/9</f>
        <v>0</v>
      </c>
      <c r="I25" s="12"/>
      <c r="J25" s="6"/>
      <c r="K25" s="6"/>
    </row>
    <row r="26" spans="2:14">
      <c r="E26" s="19" t="s">
        <v>81</v>
      </c>
      <c r="F26" s="11">
        <f>(C16*0.55)/4</f>
        <v>0</v>
      </c>
      <c r="G26" s="11">
        <f>(C16*0.45)/9</f>
        <v>0</v>
      </c>
      <c r="I26" s="12"/>
      <c r="J26" s="6"/>
      <c r="K26" s="6"/>
    </row>
    <row r="27" spans="2:14">
      <c r="E27" s="19" t="s">
        <v>82</v>
      </c>
      <c r="F27" s="11">
        <f>(C16*0.5)/4</f>
        <v>0</v>
      </c>
      <c r="G27" s="11">
        <f>(C16*0.5)/9</f>
        <v>0</v>
      </c>
      <c r="I27" s="12"/>
      <c r="J27" s="6"/>
      <c r="K27" s="6"/>
    </row>
    <row r="28" spans="2:14">
      <c r="E28" s="19" t="s">
        <v>84</v>
      </c>
      <c r="F28" s="11">
        <f>(C16*0.45)/4</f>
        <v>0</v>
      </c>
      <c r="G28" s="11">
        <f>(C16*0.55)/9</f>
        <v>0</v>
      </c>
      <c r="I28" s="12"/>
    </row>
    <row r="29" spans="2:14">
      <c r="E29" s="19" t="s">
        <v>85</v>
      </c>
      <c r="F29" s="11">
        <f>(C16*0.4)/4</f>
        <v>0</v>
      </c>
      <c r="G29" s="11">
        <f>(C16*0.6)/9</f>
        <v>0</v>
      </c>
    </row>
    <row r="30" spans="2:14">
      <c r="E30" s="19" t="s">
        <v>86</v>
      </c>
      <c r="F30" s="11">
        <f>(C16*0.35)/4</f>
        <v>0</v>
      </c>
      <c r="G30" s="11">
        <f>(C16*0.65)/9</f>
        <v>0</v>
      </c>
    </row>
    <row r="31" spans="2:14">
      <c r="E31" s="19" t="s">
        <v>87</v>
      </c>
      <c r="F31" s="11">
        <f>(C16*0.3)/4</f>
        <v>0</v>
      </c>
      <c r="G31" s="11">
        <f>(C16*0.7)/9</f>
        <v>0</v>
      </c>
    </row>
    <row r="32" spans="2:14">
      <c r="E32" s="19" t="s">
        <v>88</v>
      </c>
      <c r="F32" s="11">
        <f>(C16*0.25)/4</f>
        <v>0</v>
      </c>
      <c r="G32" s="11">
        <f>(C16*0.75)/9</f>
        <v>0</v>
      </c>
    </row>
    <row r="33" spans="5:7">
      <c r="E33" s="19" t="s">
        <v>89</v>
      </c>
      <c r="F33" s="11">
        <f>(C16*0.2)/4</f>
        <v>0</v>
      </c>
      <c r="G33" s="11">
        <f>(C16*0.8)/9</f>
        <v>0</v>
      </c>
    </row>
    <row r="34" spans="5:7">
      <c r="E34" s="19" t="s">
        <v>90</v>
      </c>
      <c r="F34" s="11">
        <f>(C16*0.15)/4</f>
        <v>0</v>
      </c>
      <c r="G34" s="11">
        <f>(C16*0.85)/9</f>
        <v>0</v>
      </c>
    </row>
    <row r="35" spans="5:7">
      <c r="E35" s="21" t="s">
        <v>91</v>
      </c>
      <c r="F35" s="11">
        <f>(C16*0.1)/4</f>
        <v>0</v>
      </c>
      <c r="G35" s="11">
        <f>(C16*0.9)/9</f>
        <v>0</v>
      </c>
    </row>
    <row r="36" spans="5:7">
      <c r="E36" s="21" t="s">
        <v>92</v>
      </c>
      <c r="F36" s="11">
        <f>(C16*0.05)/4</f>
        <v>0</v>
      </c>
      <c r="G36" s="11">
        <f>(C16*0.95)/9</f>
        <v>0</v>
      </c>
    </row>
    <row r="37" spans="5:7">
      <c r="E37" s="20" t="s">
        <v>83</v>
      </c>
      <c r="F37" s="11">
        <f>(C16*0)/4</f>
        <v>0</v>
      </c>
      <c r="G37" s="11">
        <f>(C16*1)/9</f>
        <v>0</v>
      </c>
    </row>
  </sheetData>
  <sheetProtection sheet="1" objects="1" scenarios="1" selectLockedCells="1"/>
  <mergeCells count="1">
    <mergeCell ref="B1:I1"/>
  </mergeCells>
  <dataValidations count="3">
    <dataValidation allowBlank="1" showInputMessage="1" showErrorMessage="1" prompt="_x000a_" sqref="C16" xr:uid="{2B85D9DE-4E1A-7F49-9D76-CD15B6EF0B0F}"/>
    <dataValidation type="list" allowBlank="1" showInputMessage="1" showErrorMessage="1" sqref="C17" xr:uid="{EFBDD455-8138-0B44-B3ED-20911073A7A0}">
      <formula1>$E$17:$E$37</formula1>
    </dataValidation>
    <dataValidation type="list" allowBlank="1" showInputMessage="1" showErrorMessage="1" sqref="C15" xr:uid="{428A548C-0E87-DF42-87CA-448C1BF53625}">
      <formula1>$G$4:$G$12</formula1>
    </dataValidation>
  </dataValidations>
  <pageMargins left="0.7" right="0.7" top="0.75" bottom="0.75" header="0.3" footer="0.3"/>
  <ignoredErrors>
    <ignoredError sqref="E35:E36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Start here</vt:lpstr>
      <vt:lpstr>Muller Equation</vt:lpstr>
      <vt:lpstr>Macros</vt:lpstr>
      <vt:lpstr>Diet Break Maintenance</vt:lpstr>
      <vt:lpstr>Maintenance From Deficit</vt:lpstr>
      <vt:lpstr>Maintenance From Surplus</vt:lpstr>
      <vt:lpstr>How Long To Diet</vt:lpstr>
      <vt:lpstr>Daily Deficit</vt:lpstr>
      <vt:lpstr>Reverse Diet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2019-09-29T14:10:31Z</dcterms:created>
  <dcterms:modified xsi:type="dcterms:W3CDTF">2020-05-08T00:05:16Z</dcterms:modified>
</cp:coreProperties>
</file>